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615" windowHeight="4965" activeTab="1"/>
  </bookViews>
  <sheets>
    <sheet name="a" sheetId="1" r:id="rId1"/>
    <sheet name="b" sheetId="2" r:id="rId2"/>
  </sheets>
  <definedNames>
    <definedName name="_xlnm.Print_Area" localSheetId="0">'a'!$A$1:$L$70</definedName>
  </definedNames>
  <calcPr fullCalcOnLoad="1"/>
</workbook>
</file>

<file path=xl/sharedStrings.xml><?xml version="1.0" encoding="utf-8"?>
<sst xmlns="http://schemas.openxmlformats.org/spreadsheetml/2006/main" count="277" uniqueCount="160">
  <si>
    <t>where telescope</t>
  </si>
  <si>
    <t>1st pillar</t>
  </si>
  <si>
    <t>path</t>
  </si>
  <si>
    <t>2nd pillar</t>
  </si>
  <si>
    <t>upstream</t>
  </si>
  <si>
    <t>downstream</t>
  </si>
  <si>
    <t>startGap</t>
  </si>
  <si>
    <t>endGap</t>
  </si>
  <si>
    <t>1/M</t>
  </si>
  <si>
    <t>Mask</t>
  </si>
  <si>
    <t>meanStation</t>
  </si>
  <si>
    <t>orientation of line</t>
  </si>
  <si>
    <t>how many lines</t>
  </si>
  <si>
    <t>pillar lines</t>
  </si>
  <si>
    <t>table lines</t>
  </si>
  <si>
    <r>
      <t>downstream (def.)   MaskHolder &lt; CFrame &lt; Mask &lt; LensHolder &lt; Lens &lt; CCD &lt; CCDguide</t>
    </r>
    <r>
      <rPr>
        <sz val="10"/>
        <rFont val="Arial CE"/>
        <family val="0"/>
      </rPr>
      <t xml:space="preserve"> </t>
    </r>
  </si>
  <si>
    <t>M=b/a magnification</t>
  </si>
  <si>
    <t>BK7 refractionIndex</t>
  </si>
  <si>
    <t>lensThickness (symmetrical double convex)</t>
  </si>
  <si>
    <t>CFrame half thickness</t>
  </si>
  <si>
    <r>
      <t xml:space="preserve">for </t>
    </r>
    <r>
      <rPr>
        <sz val="10"/>
        <color indexed="10"/>
        <rFont val="Arial CE"/>
        <family val="0"/>
      </rPr>
      <t>downstream</t>
    </r>
    <r>
      <rPr>
        <sz val="10"/>
        <rFont val="Arial CE"/>
        <family val="0"/>
      </rPr>
      <t xml:space="preserve"> line:</t>
    </r>
  </si>
  <si>
    <t>station</t>
  </si>
  <si>
    <t>OT1</t>
  </si>
  <si>
    <t>OT2</t>
  </si>
  <si>
    <t>OT3</t>
  </si>
  <si>
    <t>startShelf = startGap</t>
  </si>
  <si>
    <t>endShelf = endGap</t>
  </si>
  <si>
    <t>opticalLenghts(a,b)  - distancesToLensCenter(A,B)</t>
  </si>
  <si>
    <t>principalPlane to LensSurfaceOnAxis</t>
  </si>
  <si>
    <t>glassSurface to chromiumChessboard</t>
  </si>
  <si>
    <t>doublePattern = 18*field (includes full 9*9 pattern)</t>
  </si>
  <si>
    <t>seenYLengthOfMask by 3.44 CCDsensitiveSilicon</t>
  </si>
  <si>
    <t>seenXLengthOfMask by 4.6   CCDsensitiveSilicon</t>
  </si>
  <si>
    <t>maskGlassCorr.(opt.-geom)=Thickness(2)*(1/n-1/1)</t>
  </si>
  <si>
    <t>a(optical)=A(mechanical)+ThickLensCorr+maskCorr</t>
  </si>
  <si>
    <t>IR_filterCorr.(optical-geom)=Thickness(3)*(1/n-1/1)</t>
  </si>
  <si>
    <t>1/a+1/b =1/f    =&gt;   db/da= - M^2</t>
  </si>
  <si>
    <t>A</t>
  </si>
  <si>
    <t>B</t>
  </si>
  <si>
    <t>C</t>
  </si>
  <si>
    <t>D</t>
  </si>
  <si>
    <t>stopMarginX = (16mmMask+seenX)/2-dPattern</t>
  </si>
  <si>
    <t>stopMarginY =(16mmMask+seenY)/2-dPattern</t>
  </si>
  <si>
    <t>(horiz.) bestMarginX=(16(mask)-seenXbyCCD)/2</t>
  </si>
  <si>
    <t>(vert.) bestMarginY = (16(mask)-seenYbyCCD)/2</t>
  </si>
  <si>
    <t>Mask vs Cframe (CERN)</t>
  </si>
  <si>
    <t>lensHolder (midLens vs closeShelfEdge)</t>
  </si>
  <si>
    <r>
      <t xml:space="preserve">minimal magnification for 120um </t>
    </r>
    <r>
      <rPr>
        <sz val="8"/>
        <rFont val="Arial CE"/>
        <family val="0"/>
      </rPr>
      <t>(less for perfect image)</t>
    </r>
  </si>
  <si>
    <t xml:space="preserve">b(optical) =1/((1/f)-1/a)                                                                </t>
  </si>
  <si>
    <t>lens tolerance (final only 0.2% vs average)</t>
  </si>
  <si>
    <t>longFmargin =b-bMax=b -(1/((1/(f*(1+tol)))-(1/a)))</t>
  </si>
  <si>
    <t>shortFmargin=b-bMin =b -(1/((1/(f*(1 -tol)))-(1/a)))</t>
  </si>
  <si>
    <t>maxCCDend =shortFmar+pTFM+neutralCCDend</t>
  </si>
  <si>
    <t>minCCDend =  longFmar+pTCM+neutralCCDend</t>
  </si>
  <si>
    <t>Cframe vs meanStation</t>
  </si>
  <si>
    <t>Cframe (mean)</t>
  </si>
  <si>
    <t>1Side</t>
  </si>
  <si>
    <t>1Middle</t>
  </si>
  <si>
    <t>2Side</t>
  </si>
  <si>
    <t>2Middle</t>
  </si>
  <si>
    <t>5Side</t>
  </si>
  <si>
    <t>5Middle</t>
  </si>
  <si>
    <t>6Side</t>
  </si>
  <si>
    <t>6Middle</t>
  </si>
  <si>
    <t>3Side</t>
  </si>
  <si>
    <t>4Side</t>
  </si>
  <si>
    <t>3Middle</t>
  </si>
  <si>
    <t>4Middle</t>
  </si>
  <si>
    <t>lensCor+</t>
  </si>
  <si>
    <t>A (mechanical)= closeShelfEdge+lensHolder+Revers</t>
  </si>
  <si>
    <t>pillarTooCloseMargin= b-(1/((1/f)-(1/(a-pMA))))</t>
  </si>
  <si>
    <t>mask holder (round)</t>
  </si>
  <si>
    <t>maskUpperFoot to glass</t>
  </si>
  <si>
    <r>
      <t>upstream     (def.)   MaskHolder &gt; CFrame &gt; Mask &gt; LensHolder &gt; Lens &gt; CCD &gt; CCDguide</t>
    </r>
    <r>
      <rPr>
        <sz val="10"/>
        <rFont val="Arial CE"/>
        <family val="0"/>
      </rPr>
      <t xml:space="preserve"> </t>
    </r>
  </si>
  <si>
    <t>mean Cframe to chromiumChessboard</t>
  </si>
  <si>
    <t>mask goes back if holder Reversed</t>
  </si>
  <si>
    <t>pillarTooFarMargin   = b-(1/((1/f)-(1/(a+pMA))))</t>
  </si>
  <si>
    <t>ccdGuide (last vs sensitive silicon) ~</t>
  </si>
  <si>
    <t>E</t>
  </si>
  <si>
    <t>F</t>
  </si>
  <si>
    <t>neutralCCDend="200"-lensHolder-0,7-b-1,0-ccdGuide</t>
  </si>
  <si>
    <t>shelfLength</t>
  </si>
  <si>
    <t>maskSizeWithoutGlue</t>
  </si>
  <si>
    <t>tube=farShelfEdge from meanCframe</t>
  </si>
  <si>
    <t>farShelfEdge     from Mask (standard mask)</t>
  </si>
  <si>
    <t>closeShelfEdge from Mask (standard mask)</t>
  </si>
  <si>
    <t xml:space="preserve">f (average of all measurments at app=10)+correction </t>
  </si>
  <si>
    <t>Lens vs Cframe (CERN)</t>
  </si>
  <si>
    <t>Lens (plane of symmetry)</t>
  </si>
  <si>
    <t>MforSizeOfChessboard =M*chessboard/120</t>
  </si>
  <si>
    <t>field on chessboard [um] (type of mask)</t>
  </si>
  <si>
    <t>downstrea</t>
  </si>
  <si>
    <t>only CDD here</t>
  </si>
  <si>
    <t>margins(Eold,Fold)  /  spaceLeftOn2ndShelf for (E,F)</t>
  </si>
  <si>
    <t>no tube</t>
  </si>
  <si>
    <t>G</t>
  </si>
  <si>
    <t>long</t>
  </si>
  <si>
    <t>different focal lengths = 7</t>
  </si>
  <si>
    <t>CCD range for A,B,C,D 0..~41.2 / E,F-lens / G-mask</t>
  </si>
  <si>
    <t>pMA = pillarMisAlignment (10-plan, 1-real)</t>
  </si>
  <si>
    <t>vertical</t>
  </si>
  <si>
    <t xml:space="preserve">   </t>
  </si>
  <si>
    <t>bridge</t>
  </si>
  <si>
    <t>path-3M</t>
  </si>
  <si>
    <t>path-4M</t>
  </si>
  <si>
    <t>D lens diameter (aperture)</t>
  </si>
  <si>
    <t>resolution in z for Analysis141</t>
  </si>
  <si>
    <t xml:space="preserve">  the same as</t>
  </si>
  <si>
    <t>~6.7</t>
  </si>
  <si>
    <t>~0.15</t>
  </si>
  <si>
    <t>&gt;0.5 CCD</t>
  </si>
  <si>
    <t>depth of focus for mask with above precision</t>
  </si>
  <si>
    <t>~2 CCD</t>
  </si>
  <si>
    <t>~2</t>
  </si>
  <si>
    <t>A2</t>
  </si>
  <si>
    <t>B2</t>
  </si>
  <si>
    <t>A3</t>
  </si>
  <si>
    <t>B3</t>
  </si>
  <si>
    <t>B1</t>
  </si>
  <si>
    <t>H1</t>
  </si>
  <si>
    <t>2nd shelf shifted by 31 towards IT2</t>
  </si>
  <si>
    <t>T1-XU</t>
  </si>
  <si>
    <t>T1-VX</t>
  </si>
  <si>
    <t>T3-XU</t>
  </si>
  <si>
    <t>T3-VX</t>
  </si>
  <si>
    <t>T2-XU</t>
  </si>
  <si>
    <t>T2-VX</t>
  </si>
  <si>
    <t>1out</t>
  </si>
  <si>
    <t>2out</t>
  </si>
  <si>
    <t>5out</t>
  </si>
  <si>
    <t>6out</t>
  </si>
  <si>
    <t>3out</t>
  </si>
  <si>
    <t>4out</t>
  </si>
  <si>
    <t>5inn</t>
  </si>
  <si>
    <t>6inn</t>
  </si>
  <si>
    <t>3inn</t>
  </si>
  <si>
    <t>4inn</t>
  </si>
  <si>
    <t>1inn</t>
  </si>
  <si>
    <t>2inn</t>
  </si>
  <si>
    <t>ok.</t>
  </si>
  <si>
    <t>pathExt-3M</t>
  </si>
  <si>
    <t>pathExt-4M</t>
  </si>
  <si>
    <t>(LE/LF)CframeSurface-Lprofile=EndShelf+15.5(Back1stCCD vs Lprofile) - meanCFrame-5</t>
  </si>
  <si>
    <t>ccdBack=(thicknessOfMetalCase=23.3)-4.7=18.6</t>
  </si>
  <si>
    <t>sensitiveSi=endVirtualShelf-ccdBack</t>
  </si>
  <si>
    <t>H3top</t>
  </si>
  <si>
    <t>BmechMiddle=sensitiveSi-Lens</t>
  </si>
  <si>
    <t>bOpt=Bmech-0,7-1,0</t>
  </si>
  <si>
    <t>H3side</t>
  </si>
  <si>
    <t>DX</t>
  </si>
  <si>
    <t>DV</t>
  </si>
  <si>
    <t>I2</t>
  </si>
  <si>
    <t>f=1/(1/a)+(1/b)</t>
  </si>
  <si>
    <t>(horiz.) bestMarginX=(16.17(mask)-seenXbyCCD)/2</t>
  </si>
  <si>
    <t>H3</t>
  </si>
  <si>
    <t>pMA = pillarMisAlignment</t>
  </si>
  <si>
    <t>range (B,DV 0..~41.2)  (I,H,DX  ~17..~58+3)  /    ( E,F 0…~7.2)</t>
  </si>
  <si>
    <t>only CCD here</t>
  </si>
  <si>
    <t>SIMPLIFIED AND OBSOLETE VERSION</t>
  </si>
  <si>
    <t>downstr.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</si>
</sst>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0.0"/>
    <numFmt numFmtId="181" formatCode="0.000"/>
    <numFmt numFmtId="182" formatCode="0.00000"/>
    <numFmt numFmtId="183" formatCode="0.0000"/>
    <numFmt numFmtId="184" formatCode="0.0%"/>
    <numFmt numFmtId="185" formatCode="_-* #,##0.000\ _z_ł_-;\-* #,##0.000\ _z_ł_-;_-* &quot;-&quot;??\ _z_ł_-;_-@_-"/>
    <numFmt numFmtId="186" formatCode="_-* #,##0.0\ _z_ł_-;\-* #,##0.0\ _z_ł_-;_-* &quot;-&quot;??\ _z_ł_-;_-@_-"/>
    <numFmt numFmtId="187" formatCode="_-* #,##0\ _z_ł_-;\-* #,##0\ _z_ł_-;_-* &quot;-&quot;??\ _z_ł_-;_-@_-"/>
    <numFmt numFmtId="188" formatCode="_-* #,##0.0000\ _z_ł_-;\-* #,##0.0000\ _z_ł_-;_-* &quot;-&quot;??\ _z_ł_-;_-@_-"/>
    <numFmt numFmtId="189" formatCode="_-* #,##0.00000\ _z_ł_-;\-* #,##0.00000\ _z_ł_-;_-* &quot;-&quot;??\ _z_ł_-;_-@_-"/>
    <numFmt numFmtId="190" formatCode="&quot;Tak&quot;;&quot;Tak&quot;;&quot;Nie&quot;"/>
    <numFmt numFmtId="191" formatCode="&quot;Prawda&quot;;&quot;Prawda&quot;;&quot;Fałsz&quot;"/>
    <numFmt numFmtId="192" formatCode="&quot;Włączone&quot;;&quot;Włączone&quot;;&quot;Wyłączone&quot;"/>
    <numFmt numFmtId="193" formatCode="[$€-2]\ #,##0.00_);[Red]\([$€-2]\ #,##0.00\)"/>
    <numFmt numFmtId="194" formatCode="0.000%"/>
  </numFmts>
  <fonts count="48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sz val="8"/>
      <color indexed="10"/>
      <name val="Arial CE"/>
      <family val="0"/>
    </font>
    <font>
      <sz val="8"/>
      <color indexed="17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trike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0"/>
      <name val="Arial CE"/>
      <family val="0"/>
    </font>
    <font>
      <b/>
      <sz val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" fillId="0" borderId="10" xfId="0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2" fontId="0" fillId="33" borderId="10" xfId="0" applyNumberFormat="1" applyFill="1" applyBorder="1" applyAlignment="1">
      <alignment/>
    </xf>
    <xf numFmtId="180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1" xfId="0" applyBorder="1" applyAlignment="1">
      <alignment horizontal="right"/>
    </xf>
    <xf numFmtId="1" fontId="0" fillId="0" borderId="11" xfId="0" applyNumberFormat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180" fontId="0" fillId="0" borderId="11" xfId="0" applyNumberFormat="1" applyBorder="1" applyAlignment="1">
      <alignment/>
    </xf>
    <xf numFmtId="180" fontId="0" fillId="0" borderId="11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4" borderId="15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 horizontal="left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2" fillId="0" borderId="0" xfId="0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2" fontId="0" fillId="33" borderId="0" xfId="0" applyNumberFormat="1" applyFill="1" applyBorder="1" applyAlignment="1">
      <alignment/>
    </xf>
    <xf numFmtId="180" fontId="2" fillId="0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5" fillId="0" borderId="11" xfId="0" applyFont="1" applyFill="1" applyBorder="1" applyAlignment="1">
      <alignment/>
    </xf>
    <xf numFmtId="180" fontId="0" fillId="0" borderId="12" xfId="0" applyNumberFormat="1" applyFill="1" applyBorder="1" applyAlignment="1">
      <alignment/>
    </xf>
    <xf numFmtId="180" fontId="0" fillId="0" borderId="17" xfId="0" applyNumberFormat="1" applyFill="1" applyBorder="1" applyAlignment="1">
      <alignment/>
    </xf>
    <xf numFmtId="180" fontId="0" fillId="0" borderId="13" xfId="0" applyNumberFormat="1" applyFill="1" applyBorder="1" applyAlignment="1">
      <alignment/>
    </xf>
    <xf numFmtId="0" fontId="0" fillId="0" borderId="16" xfId="0" applyBorder="1" applyAlignment="1">
      <alignment horizontal="left"/>
    </xf>
    <xf numFmtId="180" fontId="0" fillId="0" borderId="21" xfId="0" applyNumberFormat="1" applyFill="1" applyBorder="1" applyAlignment="1">
      <alignment/>
    </xf>
    <xf numFmtId="180" fontId="0" fillId="0" borderId="22" xfId="0" applyNumberFormat="1" applyFill="1" applyBorder="1" applyAlignment="1">
      <alignment/>
    </xf>
    <xf numFmtId="180" fontId="0" fillId="0" borderId="23" xfId="0" applyNumberFormat="1" applyFill="1" applyBorder="1" applyAlignment="1">
      <alignment/>
    </xf>
    <xf numFmtId="0" fontId="0" fillId="0" borderId="14" xfId="0" applyBorder="1" applyAlignment="1">
      <alignment horizontal="left"/>
    </xf>
    <xf numFmtId="180" fontId="0" fillId="33" borderId="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24" xfId="0" applyFill="1" applyBorder="1" applyAlignment="1">
      <alignment/>
    </xf>
    <xf numFmtId="180" fontId="2" fillId="0" borderId="24" xfId="0" applyNumberFormat="1" applyFont="1" applyBorder="1" applyAlignment="1">
      <alignment/>
    </xf>
    <xf numFmtId="180" fontId="0" fillId="33" borderId="11" xfId="0" applyNumberFormat="1" applyFill="1" applyBorder="1" applyAlignment="1">
      <alignment/>
    </xf>
    <xf numFmtId="180" fontId="0" fillId="33" borderId="10" xfId="0" applyNumberForma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2" fillId="35" borderId="11" xfId="0" applyNumberFormat="1" applyFont="1" applyFill="1" applyBorder="1" applyAlignment="1">
      <alignment/>
    </xf>
    <xf numFmtId="2" fontId="2" fillId="35" borderId="0" xfId="0" applyNumberFormat="1" applyFont="1" applyFill="1" applyBorder="1" applyAlignment="1">
      <alignment/>
    </xf>
    <xf numFmtId="2" fontId="2" fillId="35" borderId="10" xfId="0" applyNumberFormat="1" applyFont="1" applyFill="1" applyBorder="1" applyAlignment="1">
      <alignment/>
    </xf>
    <xf numFmtId="180" fontId="0" fillId="36" borderId="0" xfId="0" applyNumberFormat="1" applyFill="1" applyBorder="1" applyAlignment="1">
      <alignment/>
    </xf>
    <xf numFmtId="180" fontId="0" fillId="36" borderId="10" xfId="0" applyNumberFormat="1" applyFill="1" applyBorder="1" applyAlignment="1">
      <alignment/>
    </xf>
    <xf numFmtId="2" fontId="2" fillId="37" borderId="12" xfId="0" applyNumberFormat="1" applyFont="1" applyFill="1" applyBorder="1" applyAlignment="1">
      <alignment/>
    </xf>
    <xf numFmtId="2" fontId="2" fillId="37" borderId="17" xfId="0" applyNumberFormat="1" applyFont="1" applyFill="1" applyBorder="1" applyAlignment="1">
      <alignment/>
    </xf>
    <xf numFmtId="2" fontId="2" fillId="37" borderId="13" xfId="0" applyNumberFormat="1" applyFont="1" applyFill="1" applyBorder="1" applyAlignment="1">
      <alignment/>
    </xf>
    <xf numFmtId="184" fontId="0" fillId="0" borderId="12" xfId="59" applyNumberFormat="1" applyFont="1" applyFill="1" applyBorder="1" applyAlignment="1">
      <alignment/>
    </xf>
    <xf numFmtId="184" fontId="0" fillId="0" borderId="17" xfId="59" applyNumberFormat="1" applyFont="1" applyFill="1" applyBorder="1" applyAlignment="1">
      <alignment/>
    </xf>
    <xf numFmtId="184" fontId="0" fillId="0" borderId="13" xfId="59" applyNumberFormat="1" applyFont="1" applyFill="1" applyBorder="1" applyAlignment="1">
      <alignment/>
    </xf>
    <xf numFmtId="180" fontId="0" fillId="0" borderId="22" xfId="0" applyNumberFormat="1" applyBorder="1" applyAlignment="1">
      <alignment/>
    </xf>
    <xf numFmtId="180" fontId="0" fillId="0" borderId="23" xfId="0" applyNumberFormat="1" applyBorder="1" applyAlignment="1">
      <alignment/>
    </xf>
    <xf numFmtId="180" fontId="0" fillId="0" borderId="21" xfId="0" applyNumberFormat="1" applyBorder="1" applyAlignment="1">
      <alignment/>
    </xf>
    <xf numFmtId="180" fontId="0" fillId="38" borderId="12" xfId="0" applyNumberFormat="1" applyFill="1" applyBorder="1" applyAlignment="1">
      <alignment horizontal="center"/>
    </xf>
    <xf numFmtId="180" fontId="0" fillId="36" borderId="17" xfId="0" applyNumberFormat="1" applyFill="1" applyBorder="1" applyAlignment="1">
      <alignment horizontal="center"/>
    </xf>
    <xf numFmtId="180" fontId="0" fillId="39" borderId="12" xfId="0" applyNumberFormat="1" applyFill="1" applyBorder="1" applyAlignment="1">
      <alignment horizontal="center"/>
    </xf>
    <xf numFmtId="180" fontId="0" fillId="40" borderId="13" xfId="0" applyNumberFormat="1" applyFill="1" applyBorder="1" applyAlignment="1">
      <alignment horizontal="center"/>
    </xf>
    <xf numFmtId="180" fontId="0" fillId="38" borderId="17" xfId="0" applyNumberFormat="1" applyFill="1" applyBorder="1" applyAlignment="1">
      <alignment horizontal="center"/>
    </xf>
    <xf numFmtId="180" fontId="0" fillId="36" borderId="13" xfId="0" applyNumberFormat="1" applyFill="1" applyBorder="1" applyAlignment="1">
      <alignment horizontal="center"/>
    </xf>
    <xf numFmtId="0" fontId="0" fillId="37" borderId="14" xfId="0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0" borderId="24" xfId="0" applyBorder="1" applyAlignment="1">
      <alignment/>
    </xf>
    <xf numFmtId="180" fontId="0" fillId="0" borderId="21" xfId="0" applyNumberFormat="1" applyBorder="1" applyAlignment="1">
      <alignment horizontal="right"/>
    </xf>
    <xf numFmtId="180" fontId="0" fillId="0" borderId="23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180" fontId="2" fillId="0" borderId="15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2" fontId="2" fillId="0" borderId="11" xfId="0" applyNumberFormat="1" applyFont="1" applyFill="1" applyBorder="1" applyAlignment="1">
      <alignment/>
    </xf>
    <xf numFmtId="180" fontId="0" fillId="33" borderId="18" xfId="0" applyNumberFormat="1" applyFill="1" applyBorder="1" applyAlignment="1">
      <alignment/>
    </xf>
    <xf numFmtId="180" fontId="0" fillId="33" borderId="19" xfId="0" applyNumberFormat="1" applyFill="1" applyBorder="1" applyAlignment="1">
      <alignment/>
    </xf>
    <xf numFmtId="180" fontId="0" fillId="33" borderId="20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8" xfId="0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180" fontId="0" fillId="33" borderId="10" xfId="0" applyNumberFormat="1" applyFill="1" applyBorder="1" applyAlignment="1">
      <alignment horizontal="right"/>
    </xf>
    <xf numFmtId="0" fontId="0" fillId="33" borderId="16" xfId="0" applyFill="1" applyBorder="1" applyAlignment="1">
      <alignment/>
    </xf>
    <xf numFmtId="180" fontId="2" fillId="33" borderId="23" xfId="0" applyNumberFormat="1" applyFont="1" applyFill="1" applyBorder="1" applyAlignment="1">
      <alignment/>
    </xf>
    <xf numFmtId="180" fontId="0" fillId="41" borderId="13" xfId="0" applyNumberFormat="1" applyFill="1" applyBorder="1" applyAlignment="1">
      <alignment horizontal="center"/>
    </xf>
    <xf numFmtId="2" fontId="0" fillId="0" borderId="17" xfId="0" applyNumberFormat="1" applyBorder="1" applyAlignment="1">
      <alignment/>
    </xf>
    <xf numFmtId="0" fontId="0" fillId="0" borderId="22" xfId="0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180" fontId="0" fillId="41" borderId="10" xfId="0" applyNumberFormat="1" applyFill="1" applyBorder="1" applyAlignment="1">
      <alignment/>
    </xf>
    <xf numFmtId="1" fontId="0" fillId="34" borderId="11" xfId="0" applyNumberFormat="1" applyFill="1" applyBorder="1" applyAlignment="1">
      <alignment/>
    </xf>
    <xf numFmtId="1" fontId="0" fillId="34" borderId="10" xfId="0" applyNumberFormat="1" applyFill="1" applyBorder="1" applyAlignment="1">
      <alignment/>
    </xf>
    <xf numFmtId="1" fontId="2" fillId="34" borderId="11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/>
    </xf>
    <xf numFmtId="180" fontId="0" fillId="42" borderId="12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0" fontId="0" fillId="0" borderId="22" xfId="0" applyNumberFormat="1" applyFont="1" applyBorder="1" applyAlignment="1">
      <alignment/>
    </xf>
    <xf numFmtId="180" fontId="0" fillId="0" borderId="23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0" fillId="0" borderId="17" xfId="0" applyNumberForma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180" fontId="0" fillId="0" borderId="22" xfId="0" applyNumberFormat="1" applyBorder="1" applyAlignment="1">
      <alignment horizontal="right"/>
    </xf>
    <xf numFmtId="2" fontId="0" fillId="0" borderId="13" xfId="0" applyNumberFormat="1" applyBorder="1" applyAlignment="1">
      <alignment/>
    </xf>
    <xf numFmtId="180" fontId="11" fillId="41" borderId="13" xfId="0" applyNumberFormat="1" applyFont="1" applyFill="1" applyBorder="1" applyAlignment="1">
      <alignment/>
    </xf>
    <xf numFmtId="180" fontId="11" fillId="41" borderId="23" xfId="0" applyNumberFormat="1" applyFont="1" applyFill="1" applyBorder="1" applyAlignment="1">
      <alignment/>
    </xf>
    <xf numFmtId="180" fontId="11" fillId="41" borderId="1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 horizontal="left"/>
    </xf>
    <xf numFmtId="0" fontId="0" fillId="37" borderId="16" xfId="0" applyFill="1" applyBorder="1" applyAlignment="1">
      <alignment/>
    </xf>
    <xf numFmtId="2" fontId="2" fillId="37" borderId="21" xfId="0" applyNumberFormat="1" applyFont="1" applyFill="1" applyBorder="1" applyAlignment="1">
      <alignment/>
    </xf>
    <xf numFmtId="2" fontId="2" fillId="37" borderId="22" xfId="0" applyNumberFormat="1" applyFont="1" applyFill="1" applyBorder="1" applyAlignment="1">
      <alignment/>
    </xf>
    <xf numFmtId="180" fontId="2" fillId="37" borderId="21" xfId="0" applyNumberFormat="1" applyFont="1" applyFill="1" applyBorder="1" applyAlignment="1">
      <alignment/>
    </xf>
    <xf numFmtId="2" fontId="2" fillId="37" borderId="23" xfId="0" applyNumberFormat="1" applyFont="1" applyFill="1" applyBorder="1" applyAlignment="1">
      <alignment/>
    </xf>
    <xf numFmtId="180" fontId="2" fillId="37" borderId="22" xfId="0" applyNumberFormat="1" applyFont="1" applyFill="1" applyBorder="1" applyAlignment="1">
      <alignment/>
    </xf>
    <xf numFmtId="180" fontId="2" fillId="37" borderId="2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80" fontId="0" fillId="0" borderId="17" xfId="0" applyNumberFormat="1" applyBorder="1" applyAlignment="1">
      <alignment horizontal="center"/>
    </xf>
    <xf numFmtId="180" fontId="0" fillId="0" borderId="13" xfId="0" applyNumberFormat="1" applyBorder="1" applyAlignment="1">
      <alignment horizontal="center"/>
    </xf>
    <xf numFmtId="0" fontId="0" fillId="34" borderId="11" xfId="0" applyFont="1" applyFill="1" applyBorder="1" applyAlignment="1">
      <alignment/>
    </xf>
    <xf numFmtId="180" fontId="2" fillId="41" borderId="10" xfId="0" applyNumberFormat="1" applyFont="1" applyFill="1" applyBorder="1" applyAlignment="1">
      <alignment/>
    </xf>
    <xf numFmtId="180" fontId="0" fillId="41" borderId="10" xfId="0" applyNumberFormat="1" applyFont="1" applyFill="1" applyBorder="1" applyAlignment="1">
      <alignment/>
    </xf>
    <xf numFmtId="180" fontId="0" fillId="34" borderId="11" xfId="0" applyNumberFormat="1" applyFill="1" applyBorder="1" applyAlignment="1">
      <alignment/>
    </xf>
    <xf numFmtId="180" fontId="0" fillId="34" borderId="10" xfId="0" applyNumberFormat="1" applyFill="1" applyBorder="1" applyAlignment="1">
      <alignment/>
    </xf>
    <xf numFmtId="1" fontId="0" fillId="34" borderId="11" xfId="0" applyNumberFormat="1" applyFill="1" applyBorder="1" applyAlignment="1">
      <alignment horizontal="center"/>
    </xf>
    <xf numFmtId="1" fontId="0" fillId="34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1" fillId="0" borderId="15" xfId="0" applyFont="1" applyBorder="1" applyAlignment="1">
      <alignment horizontal="right"/>
    </xf>
    <xf numFmtId="2" fontId="0" fillId="0" borderId="15" xfId="0" applyNumberFormat="1" applyFont="1" applyFill="1" applyBorder="1" applyAlignment="1">
      <alignment/>
    </xf>
    <xf numFmtId="1" fontId="0" fillId="0" borderId="15" xfId="0" applyNumberFormat="1" applyFill="1" applyBorder="1" applyAlignment="1">
      <alignment/>
    </xf>
    <xf numFmtId="2" fontId="0" fillId="33" borderId="15" xfId="0" applyNumberFormat="1" applyFill="1" applyBorder="1" applyAlignment="1">
      <alignment/>
    </xf>
    <xf numFmtId="0" fontId="2" fillId="37" borderId="14" xfId="0" applyFont="1" applyFill="1" applyBorder="1" applyAlignment="1">
      <alignment/>
    </xf>
    <xf numFmtId="0" fontId="2" fillId="37" borderId="16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180" fontId="10" fillId="42" borderId="12" xfId="0" applyNumberFormat="1" applyFont="1" applyFill="1" applyBorder="1" applyAlignment="1">
      <alignment/>
    </xf>
    <xf numFmtId="180" fontId="10" fillId="42" borderId="21" xfId="0" applyNumberFormat="1" applyFont="1" applyFill="1" applyBorder="1" applyAlignment="1">
      <alignment/>
    </xf>
    <xf numFmtId="180" fontId="10" fillId="42" borderId="11" xfId="0" applyNumberFormat="1" applyFont="1" applyFill="1" applyBorder="1" applyAlignment="1">
      <alignment/>
    </xf>
    <xf numFmtId="180" fontId="0" fillId="42" borderId="11" xfId="0" applyNumberFormat="1" applyFill="1" applyBorder="1" applyAlignment="1">
      <alignment/>
    </xf>
    <xf numFmtId="180" fontId="0" fillId="42" borderId="18" xfId="0" applyNumberFormat="1" applyFill="1" applyBorder="1" applyAlignment="1">
      <alignment/>
    </xf>
    <xf numFmtId="180" fontId="0" fillId="41" borderId="20" xfId="0" applyNumberFormat="1" applyFill="1" applyBorder="1" applyAlignment="1">
      <alignment/>
    </xf>
    <xf numFmtId="180" fontId="0" fillId="42" borderId="11" xfId="0" applyNumberFormat="1" applyFont="1" applyFill="1" applyBorder="1" applyAlignment="1">
      <alignment/>
    </xf>
    <xf numFmtId="180" fontId="2" fillId="42" borderId="0" xfId="0" applyNumberFormat="1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1" fillId="35" borderId="14" xfId="0" applyFont="1" applyFill="1" applyBorder="1" applyAlignment="1">
      <alignment/>
    </xf>
    <xf numFmtId="1" fontId="2" fillId="35" borderId="11" xfId="0" applyNumberFormat="1" applyFont="1" applyFill="1" applyBorder="1" applyAlignment="1">
      <alignment horizontal="right"/>
    </xf>
    <xf numFmtId="1" fontId="2" fillId="35" borderId="0" xfId="0" applyNumberFormat="1" applyFont="1" applyFill="1" applyBorder="1" applyAlignment="1">
      <alignment horizontal="right"/>
    </xf>
    <xf numFmtId="180" fontId="2" fillId="35" borderId="10" xfId="0" applyNumberFormat="1" applyFont="1" applyFill="1" applyBorder="1" applyAlignment="1">
      <alignment horizontal="right"/>
    </xf>
    <xf numFmtId="1" fontId="2" fillId="35" borderId="12" xfId="0" applyNumberFormat="1" applyFont="1" applyFill="1" applyBorder="1" applyAlignment="1">
      <alignment horizontal="right"/>
    </xf>
    <xf numFmtId="1" fontId="2" fillId="35" borderId="13" xfId="0" applyNumberFormat="1" applyFont="1" applyFill="1" applyBorder="1" applyAlignment="1">
      <alignment horizontal="right"/>
    </xf>
    <xf numFmtId="180" fontId="2" fillId="35" borderId="12" xfId="0" applyNumberFormat="1" applyFont="1" applyFill="1" applyBorder="1" applyAlignment="1">
      <alignment horizontal="right"/>
    </xf>
    <xf numFmtId="180" fontId="2" fillId="35" borderId="17" xfId="0" applyNumberFormat="1" applyFont="1" applyFill="1" applyBorder="1" applyAlignment="1">
      <alignment horizontal="right"/>
    </xf>
    <xf numFmtId="0" fontId="1" fillId="35" borderId="15" xfId="0" applyFont="1" applyFill="1" applyBorder="1" applyAlignment="1">
      <alignment/>
    </xf>
    <xf numFmtId="2" fontId="2" fillId="35" borderId="11" xfId="0" applyNumberFormat="1" applyFont="1" applyFill="1" applyBorder="1" applyAlignment="1">
      <alignment horizontal="right"/>
    </xf>
    <xf numFmtId="2" fontId="2" fillId="35" borderId="0" xfId="0" applyNumberFormat="1" applyFont="1" applyFill="1" applyBorder="1" applyAlignment="1">
      <alignment horizontal="right"/>
    </xf>
    <xf numFmtId="1" fontId="0" fillId="35" borderId="11" xfId="0" applyNumberFormat="1" applyFont="1" applyFill="1" applyBorder="1" applyAlignment="1">
      <alignment horizontal="left"/>
    </xf>
    <xf numFmtId="2" fontId="2" fillId="35" borderId="10" xfId="0" applyNumberFormat="1" applyFont="1" applyFill="1" applyBorder="1" applyAlignment="1">
      <alignment horizontal="right"/>
    </xf>
    <xf numFmtId="0" fontId="1" fillId="35" borderId="16" xfId="0" applyFont="1" applyFill="1" applyBorder="1" applyAlignment="1">
      <alignment/>
    </xf>
    <xf numFmtId="180" fontId="2" fillId="35" borderId="11" xfId="0" applyNumberFormat="1" applyFont="1" applyFill="1" applyBorder="1" applyAlignment="1">
      <alignment horizontal="right"/>
    </xf>
    <xf numFmtId="1" fontId="2" fillId="35" borderId="11" xfId="0" applyNumberFormat="1" applyFont="1" applyFill="1" applyBorder="1" applyAlignment="1">
      <alignment horizontal="center"/>
    </xf>
    <xf numFmtId="1" fontId="2" fillId="35" borderId="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right"/>
    </xf>
    <xf numFmtId="180" fontId="2" fillId="35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0" fillId="42" borderId="0" xfId="0" applyFont="1" applyFill="1" applyBorder="1" applyAlignment="1">
      <alignment/>
    </xf>
    <xf numFmtId="0" fontId="0" fillId="38" borderId="0" xfId="0" applyFill="1" applyAlignment="1">
      <alignment horizontal="center"/>
    </xf>
    <xf numFmtId="0" fontId="2" fillId="37" borderId="0" xfId="0" applyFont="1" applyFill="1" applyAlignment="1">
      <alignment horizontal="center"/>
    </xf>
    <xf numFmtId="2" fontId="2" fillId="37" borderId="0" xfId="0" applyNumberFormat="1" applyFont="1" applyFill="1" applyBorder="1" applyAlignment="1">
      <alignment/>
    </xf>
    <xf numFmtId="2" fontId="2" fillId="37" borderId="0" xfId="0" applyNumberFormat="1" applyFont="1" applyFill="1" applyAlignment="1">
      <alignment/>
    </xf>
    <xf numFmtId="0" fontId="0" fillId="0" borderId="15" xfId="0" applyFont="1" applyBorder="1" applyAlignment="1">
      <alignment/>
    </xf>
    <xf numFmtId="0" fontId="29" fillId="0" borderId="0" xfId="0" applyFont="1" applyAlignment="1">
      <alignment/>
    </xf>
    <xf numFmtId="2" fontId="2" fillId="33" borderId="23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2" fontId="2" fillId="0" borderId="24" xfId="0" applyNumberFormat="1" applyFont="1" applyBorder="1" applyAlignment="1">
      <alignment/>
    </xf>
    <xf numFmtId="0" fontId="0" fillId="0" borderId="0" xfId="0" applyFill="1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22" xfId="0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11" xfId="0" applyFont="1" applyFill="1" applyBorder="1" applyAlignment="1">
      <alignment/>
    </xf>
    <xf numFmtId="180" fontId="0" fillId="42" borderId="11" xfId="0" applyNumberFormat="1" applyFont="1" applyFill="1" applyBorder="1" applyAlignment="1">
      <alignment/>
    </xf>
    <xf numFmtId="180" fontId="0" fillId="41" borderId="10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2" fontId="2" fillId="34" borderId="11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" fontId="2" fillId="34" borderId="11" xfId="0" applyNumberFormat="1" applyFont="1" applyFill="1" applyBorder="1" applyAlignment="1">
      <alignment/>
    </xf>
    <xf numFmtId="1" fontId="0" fillId="0" borderId="11" xfId="0" applyNumberForma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80" fontId="0" fillId="0" borderId="11" xfId="0" applyNumberFormat="1" applyFont="1" applyBorder="1" applyAlignment="1">
      <alignment/>
    </xf>
    <xf numFmtId="0" fontId="0" fillId="38" borderId="17" xfId="0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0" fontId="0" fillId="37" borderId="11" xfId="0" applyNumberFormat="1" applyFill="1" applyBorder="1" applyAlignment="1">
      <alignment/>
    </xf>
    <xf numFmtId="180" fontId="0" fillId="37" borderId="10" xfId="0" applyNumberFormat="1" applyFill="1" applyBorder="1" applyAlignment="1">
      <alignment/>
    </xf>
    <xf numFmtId="0" fontId="0" fillId="37" borderId="15" xfId="0" applyFill="1" applyBorder="1" applyAlignment="1">
      <alignment/>
    </xf>
    <xf numFmtId="0" fontId="0" fillId="38" borderId="14" xfId="0" applyFont="1" applyFill="1" applyBorder="1" applyAlignment="1">
      <alignment horizontal="center"/>
    </xf>
    <xf numFmtId="180" fontId="0" fillId="38" borderId="13" xfId="0" applyNumberFormat="1" applyFill="1" applyBorder="1" applyAlignment="1">
      <alignment horizontal="center"/>
    </xf>
    <xf numFmtId="180" fontId="0" fillId="33" borderId="13" xfId="0" applyNumberFormat="1" applyFill="1" applyBorder="1" applyAlignment="1">
      <alignment horizontal="center"/>
    </xf>
    <xf numFmtId="180" fontId="2" fillId="37" borderId="11" xfId="0" applyNumberFormat="1" applyFont="1" applyFill="1" applyBorder="1" applyAlignment="1">
      <alignment/>
    </xf>
    <xf numFmtId="2" fontId="2" fillId="37" borderId="1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0" fillId="0" borderId="22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30" fillId="37" borderId="11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0" fillId="35" borderId="15" xfId="0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180" fontId="0" fillId="36" borderId="10" xfId="0" applyNumberFormat="1" applyFont="1" applyFill="1" applyBorder="1" applyAlignment="1">
      <alignment/>
    </xf>
    <xf numFmtId="180" fontId="11" fillId="0" borderId="23" xfId="0" applyNumberFormat="1" applyFont="1" applyFill="1" applyBorder="1" applyAlignment="1">
      <alignment/>
    </xf>
    <xf numFmtId="0" fontId="0" fillId="38" borderId="0" xfId="0" applyFont="1" applyFill="1" applyAlignment="1">
      <alignment horizontal="center"/>
    </xf>
    <xf numFmtId="180" fontId="0" fillId="0" borderId="13" xfId="0" applyNumberFormat="1" applyFill="1" applyBorder="1" applyAlignment="1">
      <alignment horizontal="center"/>
    </xf>
    <xf numFmtId="180" fontId="2" fillId="35" borderId="13" xfId="0" applyNumberFormat="1" applyFont="1" applyFill="1" applyBorder="1" applyAlignment="1">
      <alignment horizontal="right"/>
    </xf>
    <xf numFmtId="180" fontId="2" fillId="0" borderId="14" xfId="0" applyNumberFormat="1" applyFont="1" applyFill="1" applyBorder="1" applyAlignment="1">
      <alignment horizontal="right"/>
    </xf>
    <xf numFmtId="184" fontId="0" fillId="0" borderId="12" xfId="59" applyNumberFormat="1" applyFont="1" applyFill="1" applyBorder="1" applyAlignment="1">
      <alignment/>
    </xf>
    <xf numFmtId="184" fontId="0" fillId="0" borderId="17" xfId="59" applyNumberFormat="1" applyFont="1" applyFill="1" applyBorder="1" applyAlignment="1">
      <alignment/>
    </xf>
    <xf numFmtId="184" fontId="0" fillId="0" borderId="13" xfId="59" applyNumberFormat="1" applyFont="1" applyFill="1" applyBorder="1" applyAlignment="1">
      <alignment/>
    </xf>
    <xf numFmtId="180" fontId="0" fillId="0" borderId="20" xfId="0" applyNumberFormat="1" applyFill="1" applyBorder="1" applyAlignment="1">
      <alignment/>
    </xf>
    <xf numFmtId="0" fontId="1" fillId="0" borderId="11" xfId="0" applyFont="1" applyFill="1" applyBorder="1" applyAlignment="1">
      <alignment/>
    </xf>
    <xf numFmtId="180" fontId="1" fillId="0" borderId="11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180" fontId="1" fillId="0" borderId="21" xfId="0" applyNumberFormat="1" applyFont="1" applyBorder="1" applyAlignment="1">
      <alignment/>
    </xf>
    <xf numFmtId="180" fontId="1" fillId="0" borderId="22" xfId="0" applyNumberFormat="1" applyFont="1" applyBorder="1" applyAlignment="1">
      <alignment/>
    </xf>
    <xf numFmtId="180" fontId="0" fillId="0" borderId="22" xfId="0" applyNumberFormat="1" applyFont="1" applyBorder="1" applyAlignment="1">
      <alignment/>
    </xf>
    <xf numFmtId="180" fontId="0" fillId="0" borderId="23" xfId="0" applyNumberFormat="1" applyFont="1" applyBorder="1" applyAlignment="1">
      <alignment/>
    </xf>
    <xf numFmtId="180" fontId="0" fillId="36" borderId="0" xfId="0" applyNumberFormat="1" applyFon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43" borderId="11" xfId="0" applyNumberFormat="1" applyFill="1" applyBorder="1" applyAlignment="1">
      <alignment/>
    </xf>
    <xf numFmtId="180" fontId="0" fillId="43" borderId="11" xfId="0" applyNumberFormat="1" applyFont="1" applyFill="1" applyBorder="1" applyAlignment="1">
      <alignment/>
    </xf>
    <xf numFmtId="180" fontId="0" fillId="44" borderId="11" xfId="0" applyNumberFormat="1" applyFill="1" applyBorder="1" applyAlignment="1">
      <alignment/>
    </xf>
    <xf numFmtId="180" fontId="0" fillId="44" borderId="11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PageLayoutView="0" workbookViewId="0" topLeftCell="A13">
      <selection activeCell="B74" sqref="B74"/>
    </sheetView>
  </sheetViews>
  <sheetFormatPr defaultColWidth="9.00390625" defaultRowHeight="12.75"/>
  <cols>
    <col min="1" max="1" width="44.125" style="8" customWidth="1"/>
    <col min="2" max="2" width="8.875" style="8" customWidth="1"/>
    <col min="3" max="3" width="6.875" style="8" customWidth="1"/>
    <col min="4" max="4" width="7.00390625" style="8" customWidth="1"/>
    <col min="5" max="5" width="6.875" style="8" customWidth="1"/>
    <col min="6" max="6" width="7.125" style="8" customWidth="1"/>
    <col min="7" max="7" width="6.25390625" style="8" customWidth="1"/>
    <col min="8" max="8" width="7.00390625" style="8" customWidth="1"/>
    <col min="9" max="9" width="6.875" style="8" customWidth="1"/>
    <col min="10" max="10" width="8.00390625" style="8" customWidth="1"/>
    <col min="11" max="11" width="8.25390625" style="8" customWidth="1"/>
    <col min="12" max="12" width="6.875" style="0" customWidth="1"/>
  </cols>
  <sheetData>
    <row r="1" spans="1:2" ht="12.75">
      <c r="A1" s="121" t="s">
        <v>20</v>
      </c>
      <c r="B1" s="58"/>
    </row>
    <row r="2" spans="1:4" ht="11.25" customHeight="1">
      <c r="A2" s="36" t="s">
        <v>19</v>
      </c>
      <c r="B2" s="2">
        <v>-5</v>
      </c>
      <c r="D2" s="4" t="s">
        <v>36</v>
      </c>
    </row>
    <row r="3" spans="1:2" ht="12.75">
      <c r="A3" s="36" t="s">
        <v>71</v>
      </c>
      <c r="B3" s="11">
        <v>-5</v>
      </c>
    </row>
    <row r="4" spans="1:3" ht="12.75">
      <c r="A4" s="59" t="s">
        <v>72</v>
      </c>
      <c r="B4" s="11">
        <v>15</v>
      </c>
      <c r="C4" s="8" t="s">
        <v>101</v>
      </c>
    </row>
    <row r="5" spans="1:2" ht="12.75">
      <c r="A5" s="36" t="s">
        <v>29</v>
      </c>
      <c r="B5" s="3">
        <v>-0.2</v>
      </c>
    </row>
    <row r="6" spans="1:2" ht="12.75">
      <c r="A6" s="60" t="s">
        <v>74</v>
      </c>
      <c r="B6" s="107">
        <f>SUM(B2:B5)</f>
        <v>4.8</v>
      </c>
    </row>
    <row r="7" spans="1:7" ht="12.75">
      <c r="A7" s="123" t="s">
        <v>18</v>
      </c>
      <c r="B7" s="124">
        <v>4.1</v>
      </c>
      <c r="C7" s="4"/>
      <c r="D7" s="4"/>
      <c r="E7" s="4"/>
      <c r="F7" s="4"/>
      <c r="G7" s="4"/>
    </row>
    <row r="8" spans="1:2" ht="12.75">
      <c r="A8" s="125" t="s">
        <v>17</v>
      </c>
      <c r="B8" s="71">
        <v>1.51</v>
      </c>
    </row>
    <row r="9" spans="1:7" ht="12.75">
      <c r="A9" s="125" t="s">
        <v>28</v>
      </c>
      <c r="B9" s="126">
        <f>B7/2/B8</f>
        <v>1.357615894039735</v>
      </c>
      <c r="C9" s="13"/>
      <c r="D9" s="13"/>
      <c r="E9" s="13"/>
      <c r="F9" s="13"/>
      <c r="G9" s="13"/>
    </row>
    <row r="10" spans="1:7" ht="12.75">
      <c r="A10" s="127" t="s">
        <v>27</v>
      </c>
      <c r="B10" s="128">
        <f>B9-B7/2</f>
        <v>-0.6923841059602649</v>
      </c>
      <c r="C10" s="9"/>
      <c r="D10" s="108" t="s">
        <v>68</v>
      </c>
      <c r="E10" s="9"/>
      <c r="F10" s="9"/>
      <c r="G10" s="9"/>
    </row>
    <row r="11" spans="1:4" ht="12.75">
      <c r="A11" s="72" t="s">
        <v>33</v>
      </c>
      <c r="B11" s="73">
        <f>0.2*((1/1.5)-1)</f>
        <v>-0.06666666666666668</v>
      </c>
      <c r="D11" s="109">
        <f>B10+B11</f>
        <v>-0.7590507726269315</v>
      </c>
    </row>
    <row r="12" spans="1:4" ht="12.75">
      <c r="A12" s="72" t="s">
        <v>35</v>
      </c>
      <c r="B12" s="73">
        <f>3*((1/1.5)-1)</f>
        <v>-1</v>
      </c>
      <c r="D12" s="110">
        <f>B10+B12</f>
        <v>-1.692384105960265</v>
      </c>
    </row>
    <row r="13" spans="1:12" ht="12.75">
      <c r="A13" s="32" t="s">
        <v>15</v>
      </c>
      <c r="H13" s="42"/>
      <c r="I13" s="42"/>
      <c r="L13" s="8"/>
    </row>
    <row r="14" spans="1:12" ht="12.75">
      <c r="A14" s="31" t="s">
        <v>73</v>
      </c>
      <c r="H14" s="131"/>
      <c r="I14" s="131"/>
      <c r="J14" s="131"/>
      <c r="K14" s="131"/>
      <c r="L14" s="131"/>
    </row>
    <row r="15" spans="1:12" ht="12.75">
      <c r="A15" s="102" t="s">
        <v>21</v>
      </c>
      <c r="B15" s="52" t="s">
        <v>22</v>
      </c>
      <c r="C15" s="52"/>
      <c r="D15" s="51" t="s">
        <v>24</v>
      </c>
      <c r="E15" s="54"/>
      <c r="F15" s="53" t="s">
        <v>23</v>
      </c>
      <c r="G15" s="52"/>
      <c r="H15" s="51" t="s">
        <v>23</v>
      </c>
      <c r="I15" s="52"/>
      <c r="J15" s="51" t="s">
        <v>22</v>
      </c>
      <c r="K15" s="54"/>
      <c r="L15" s="35" t="s">
        <v>102</v>
      </c>
    </row>
    <row r="16" spans="1:12" ht="12.75">
      <c r="A16" s="36" t="s">
        <v>13</v>
      </c>
      <c r="B16" s="111" t="s">
        <v>56</v>
      </c>
      <c r="C16" s="112" t="s">
        <v>58</v>
      </c>
      <c r="D16" s="111" t="s">
        <v>60</v>
      </c>
      <c r="E16" s="112" t="s">
        <v>62</v>
      </c>
      <c r="F16" s="111" t="s">
        <v>64</v>
      </c>
      <c r="G16" s="113" t="s">
        <v>65</v>
      </c>
      <c r="H16" s="112"/>
      <c r="I16" s="113"/>
      <c r="J16" s="164"/>
      <c r="K16" s="165"/>
      <c r="L16" s="35" t="s">
        <v>96</v>
      </c>
    </row>
    <row r="17" spans="1:12" ht="12.75">
      <c r="A17" s="36" t="s">
        <v>14</v>
      </c>
      <c r="B17" s="132"/>
      <c r="C17" s="133"/>
      <c r="D17" s="114" t="s">
        <v>61</v>
      </c>
      <c r="E17" s="105" t="s">
        <v>63</v>
      </c>
      <c r="F17" s="114"/>
      <c r="G17" s="115"/>
      <c r="H17" s="142" t="s">
        <v>66</v>
      </c>
      <c r="I17" s="143" t="s">
        <v>67</v>
      </c>
      <c r="J17" s="114" t="s">
        <v>57</v>
      </c>
      <c r="K17" s="115" t="s">
        <v>59</v>
      </c>
      <c r="L17" s="60" t="s">
        <v>100</v>
      </c>
    </row>
    <row r="18" spans="1:12" ht="12.75">
      <c r="A18" s="36" t="s">
        <v>12</v>
      </c>
      <c r="B18" s="22">
        <v>4</v>
      </c>
      <c r="C18" s="12">
        <v>4</v>
      </c>
      <c r="D18" s="22">
        <v>8</v>
      </c>
      <c r="E18" s="12">
        <v>8</v>
      </c>
      <c r="F18" s="22">
        <v>4</v>
      </c>
      <c r="G18" s="11">
        <v>4</v>
      </c>
      <c r="H18" s="12">
        <v>4</v>
      </c>
      <c r="I18" s="11">
        <v>4</v>
      </c>
      <c r="J18" s="22">
        <v>4</v>
      </c>
      <c r="K18" s="11">
        <v>4</v>
      </c>
      <c r="L18" s="36">
        <v>2</v>
      </c>
    </row>
    <row r="19" spans="1:12" ht="12.75">
      <c r="A19" s="36" t="s">
        <v>10</v>
      </c>
      <c r="B19" s="21">
        <v>7948</v>
      </c>
      <c r="C19" s="42">
        <v>7948</v>
      </c>
      <c r="D19" s="21">
        <v>9315</v>
      </c>
      <c r="E19" s="42">
        <v>9315</v>
      </c>
      <c r="F19" s="21">
        <v>8630</v>
      </c>
      <c r="G19" s="1">
        <v>8630</v>
      </c>
      <c r="H19" s="42">
        <v>8630</v>
      </c>
      <c r="I19" s="1">
        <v>8630</v>
      </c>
      <c r="J19" s="21">
        <v>7948</v>
      </c>
      <c r="K19" s="1">
        <v>7948</v>
      </c>
      <c r="L19" s="36"/>
    </row>
    <row r="20" spans="1:12" ht="12.75">
      <c r="A20" s="36" t="s">
        <v>54</v>
      </c>
      <c r="B20" s="21">
        <v>-60</v>
      </c>
      <c r="C20" s="42">
        <v>60</v>
      </c>
      <c r="D20" s="21">
        <v>-60</v>
      </c>
      <c r="E20" s="42">
        <v>60</v>
      </c>
      <c r="F20" s="21">
        <v>-60</v>
      </c>
      <c r="G20" s="1">
        <v>60</v>
      </c>
      <c r="H20" s="42">
        <v>-60</v>
      </c>
      <c r="I20" s="1">
        <v>60</v>
      </c>
      <c r="J20" s="21">
        <v>-60</v>
      </c>
      <c r="K20" s="1">
        <v>60</v>
      </c>
      <c r="L20" s="36"/>
    </row>
    <row r="21" spans="1:12" ht="12.75">
      <c r="A21" s="36" t="s">
        <v>55</v>
      </c>
      <c r="B21" s="17">
        <f aca="true" t="shared" si="0" ref="B21:I21">B19+B20</f>
        <v>7888</v>
      </c>
      <c r="C21" s="8">
        <f t="shared" si="0"/>
        <v>8008</v>
      </c>
      <c r="D21" s="17">
        <f t="shared" si="0"/>
        <v>9255</v>
      </c>
      <c r="E21" s="8">
        <f t="shared" si="0"/>
        <v>9375</v>
      </c>
      <c r="F21" s="17">
        <f t="shared" si="0"/>
        <v>8570</v>
      </c>
      <c r="G21" s="2">
        <f t="shared" si="0"/>
        <v>8690</v>
      </c>
      <c r="H21" s="8">
        <f t="shared" si="0"/>
        <v>8570</v>
      </c>
      <c r="I21" s="2">
        <f t="shared" si="0"/>
        <v>8690</v>
      </c>
      <c r="J21" s="17">
        <f>J19+J20</f>
        <v>7888</v>
      </c>
      <c r="K21" s="2">
        <f>K19+K20</f>
        <v>8008</v>
      </c>
      <c r="L21" s="36"/>
    </row>
    <row r="22" spans="1:12" ht="12.75">
      <c r="A22" s="36" t="s">
        <v>11</v>
      </c>
      <c r="B22" s="33" t="s">
        <v>4</v>
      </c>
      <c r="C22" s="43" t="s">
        <v>4</v>
      </c>
      <c r="D22" s="33" t="s">
        <v>4</v>
      </c>
      <c r="E22" s="43" t="s">
        <v>4</v>
      </c>
      <c r="F22" s="61" t="s">
        <v>5</v>
      </c>
      <c r="G22" s="57" t="s">
        <v>5</v>
      </c>
      <c r="H22" s="43" t="s">
        <v>4</v>
      </c>
      <c r="I22" s="34" t="s">
        <v>4</v>
      </c>
      <c r="J22" s="61" t="s">
        <v>5</v>
      </c>
      <c r="K22" s="57" t="s">
        <v>91</v>
      </c>
      <c r="L22" s="36"/>
    </row>
    <row r="23" spans="1:12" ht="12.75">
      <c r="A23" s="36" t="s">
        <v>45</v>
      </c>
      <c r="B23" s="17">
        <f>-$B6</f>
        <v>-4.8</v>
      </c>
      <c r="C23" s="8">
        <f>-$B6</f>
        <v>-4.8</v>
      </c>
      <c r="D23" s="17">
        <f>-$B6</f>
        <v>-4.8</v>
      </c>
      <c r="E23" s="8">
        <f>-$B6</f>
        <v>-4.8</v>
      </c>
      <c r="F23" s="17">
        <f>$B6</f>
        <v>4.8</v>
      </c>
      <c r="G23" s="2">
        <f>$B6</f>
        <v>4.8</v>
      </c>
      <c r="H23" s="8">
        <f>-$B6</f>
        <v>-4.8</v>
      </c>
      <c r="I23" s="2">
        <f>-$B6</f>
        <v>-4.8</v>
      </c>
      <c r="J23" s="17">
        <v>-6.2</v>
      </c>
      <c r="K23" s="2">
        <v>-6.2</v>
      </c>
      <c r="L23" s="36"/>
    </row>
    <row r="24" spans="1:12" ht="12.75">
      <c r="A24" s="36" t="s">
        <v>9</v>
      </c>
      <c r="B24" s="17">
        <f aca="true" t="shared" si="1" ref="B24:I24">B21+B23</f>
        <v>7883.2</v>
      </c>
      <c r="C24" s="8">
        <f t="shared" si="1"/>
        <v>8003.2</v>
      </c>
      <c r="D24" s="17">
        <f t="shared" si="1"/>
        <v>9250.2</v>
      </c>
      <c r="E24" s="8">
        <f t="shared" si="1"/>
        <v>9370.2</v>
      </c>
      <c r="F24" s="17">
        <f t="shared" si="1"/>
        <v>8574.8</v>
      </c>
      <c r="G24" s="2">
        <f t="shared" si="1"/>
        <v>8694.8</v>
      </c>
      <c r="H24" s="8">
        <f t="shared" si="1"/>
        <v>8565.2</v>
      </c>
      <c r="I24" s="2">
        <f t="shared" si="1"/>
        <v>8685.2</v>
      </c>
      <c r="J24" s="17">
        <f>J21+J23</f>
        <v>7881.8</v>
      </c>
      <c r="K24" s="2">
        <f>K21+K23</f>
        <v>8001.8</v>
      </c>
      <c r="L24" s="36"/>
    </row>
    <row r="25" spans="1:12" ht="12.75">
      <c r="A25" s="36" t="s">
        <v>87</v>
      </c>
      <c r="B25" s="17"/>
      <c r="D25" s="17"/>
      <c r="F25" s="17"/>
      <c r="G25" s="2"/>
      <c r="I25" s="2"/>
      <c r="J25" s="17">
        <v>32</v>
      </c>
      <c r="K25" s="2">
        <v>21</v>
      </c>
      <c r="L25" s="36"/>
    </row>
    <row r="26" spans="1:12" ht="12.75">
      <c r="A26" s="36" t="s">
        <v>88</v>
      </c>
      <c r="B26" s="17"/>
      <c r="D26" s="17"/>
      <c r="F26" s="17"/>
      <c r="G26" s="2"/>
      <c r="I26" s="2"/>
      <c r="J26" s="17">
        <f>J21+J25</f>
        <v>7920</v>
      </c>
      <c r="K26" s="2">
        <f>K21+K25</f>
        <v>8029</v>
      </c>
      <c r="L26" s="36"/>
    </row>
    <row r="27" spans="1:12" ht="12.75">
      <c r="A27" s="36" t="s">
        <v>0</v>
      </c>
      <c r="B27" s="23" t="s">
        <v>1</v>
      </c>
      <c r="C27" s="44" t="s">
        <v>1</v>
      </c>
      <c r="D27" s="23" t="s">
        <v>3</v>
      </c>
      <c r="E27" s="44" t="s">
        <v>3</v>
      </c>
      <c r="F27" s="23" t="s">
        <v>3</v>
      </c>
      <c r="G27" s="7" t="s">
        <v>3</v>
      </c>
      <c r="H27" s="44" t="s">
        <v>2</v>
      </c>
      <c r="I27" s="7" t="s">
        <v>2</v>
      </c>
      <c r="J27" s="23" t="s">
        <v>103</v>
      </c>
      <c r="K27" s="7" t="s">
        <v>104</v>
      </c>
      <c r="L27" s="36"/>
    </row>
    <row r="28" spans="1:12" ht="12.75">
      <c r="A28" s="37" t="s">
        <v>6</v>
      </c>
      <c r="B28" s="24">
        <v>7387</v>
      </c>
      <c r="C28" s="45">
        <v>7387</v>
      </c>
      <c r="D28" s="24">
        <v>8780</v>
      </c>
      <c r="E28" s="45">
        <v>8780</v>
      </c>
      <c r="F28" s="24">
        <v>8780</v>
      </c>
      <c r="G28" s="20">
        <v>8780</v>
      </c>
      <c r="H28" s="45">
        <v>8100</v>
      </c>
      <c r="I28" s="20">
        <v>8100</v>
      </c>
      <c r="J28" s="166">
        <v>8069</v>
      </c>
      <c r="K28" s="20">
        <f>$J$28</f>
        <v>8069</v>
      </c>
      <c r="L28" s="36"/>
    </row>
    <row r="29" spans="1:12" ht="12.75">
      <c r="A29" s="37" t="s">
        <v>7</v>
      </c>
      <c r="B29" s="24">
        <v>7587</v>
      </c>
      <c r="C29" s="45">
        <v>7587</v>
      </c>
      <c r="D29" s="24">
        <v>8980</v>
      </c>
      <c r="E29" s="45">
        <v>8980</v>
      </c>
      <c r="F29" s="24">
        <v>8980</v>
      </c>
      <c r="G29" s="20">
        <v>8980</v>
      </c>
      <c r="H29" s="45">
        <v>8300</v>
      </c>
      <c r="I29" s="20">
        <v>8300</v>
      </c>
      <c r="J29" s="24">
        <v>8100</v>
      </c>
      <c r="K29" s="20">
        <v>8100</v>
      </c>
      <c r="L29" s="36"/>
    </row>
    <row r="30" spans="1:12" ht="12.75">
      <c r="A30" s="38" t="s">
        <v>93</v>
      </c>
      <c r="C30" s="4"/>
      <c r="D30" s="25"/>
      <c r="E30" s="4"/>
      <c r="F30" s="25"/>
      <c r="G30" s="5"/>
      <c r="H30" s="4"/>
      <c r="I30" s="5"/>
      <c r="J30" s="190">
        <f>H68</f>
        <v>18.91811033442605</v>
      </c>
      <c r="K30" s="168">
        <f>I68</f>
        <v>15.090173145924187</v>
      </c>
      <c r="L30" s="36"/>
    </row>
    <row r="31" spans="1:12" ht="12.75">
      <c r="A31" s="37" t="s">
        <v>25</v>
      </c>
      <c r="B31" s="24">
        <f aca="true" t="shared" si="2" ref="B31:G31">B28</f>
        <v>7387</v>
      </c>
      <c r="C31" s="45">
        <f t="shared" si="2"/>
        <v>7387</v>
      </c>
      <c r="D31" s="24">
        <f t="shared" si="2"/>
        <v>8780</v>
      </c>
      <c r="E31" s="45">
        <f t="shared" si="2"/>
        <v>8780</v>
      </c>
      <c r="F31" s="24">
        <f t="shared" si="2"/>
        <v>8780</v>
      </c>
      <c r="G31" s="20">
        <f t="shared" si="2"/>
        <v>8780</v>
      </c>
      <c r="H31" s="45">
        <v>8100</v>
      </c>
      <c r="I31" s="20">
        <v>8100</v>
      </c>
      <c r="J31" s="24">
        <f>J28</f>
        <v>8069</v>
      </c>
      <c r="K31" s="20">
        <f>K28</f>
        <v>8069</v>
      </c>
      <c r="L31" s="36"/>
    </row>
    <row r="32" spans="1:12" ht="12.75">
      <c r="A32" s="37" t="s">
        <v>26</v>
      </c>
      <c r="B32" s="24">
        <f aca="true" t="shared" si="3" ref="B32:G32">B29</f>
        <v>7587</v>
      </c>
      <c r="C32" s="45">
        <f>C29</f>
        <v>7587</v>
      </c>
      <c r="D32" s="24">
        <f t="shared" si="3"/>
        <v>8980</v>
      </c>
      <c r="E32" s="45">
        <f t="shared" si="3"/>
        <v>8980</v>
      </c>
      <c r="F32" s="24">
        <f t="shared" si="3"/>
        <v>8980</v>
      </c>
      <c r="G32" s="20">
        <f t="shared" si="3"/>
        <v>8980</v>
      </c>
      <c r="H32" s="45">
        <v>8300</v>
      </c>
      <c r="I32" s="20">
        <v>8300</v>
      </c>
      <c r="J32" s="169">
        <f>J29+J30</f>
        <v>8118.918110334426</v>
      </c>
      <c r="K32" s="170">
        <f>K29+K30</f>
        <v>8115.090173145924</v>
      </c>
      <c r="L32" s="36"/>
    </row>
    <row r="33" spans="1:12" ht="12.75">
      <c r="A33" s="37" t="s">
        <v>81</v>
      </c>
      <c r="B33" s="24"/>
      <c r="C33" s="45"/>
      <c r="D33" s="24"/>
      <c r="E33" s="45"/>
      <c r="F33" s="24"/>
      <c r="G33" s="20"/>
      <c r="H33" s="24"/>
      <c r="I33" s="20"/>
      <c r="J33" s="137">
        <f>J32-J31</f>
        <v>49.918110334426274</v>
      </c>
      <c r="K33" s="138">
        <f>K32-K31</f>
        <v>46.09017314592438</v>
      </c>
      <c r="L33" s="36"/>
    </row>
    <row r="34" spans="1:12" ht="12.75">
      <c r="A34" s="38" t="s">
        <v>85</v>
      </c>
      <c r="B34" s="30">
        <f aca="true" t="shared" si="4" ref="B34:I34">MIN(ABS(B24-B31),ABS(B24-B32))</f>
        <v>296.1999999999998</v>
      </c>
      <c r="C34" s="4">
        <f t="shared" si="4"/>
        <v>416.1999999999998</v>
      </c>
      <c r="D34" s="25">
        <f t="shared" si="4"/>
        <v>270.2000000000007</v>
      </c>
      <c r="E34" s="4">
        <f t="shared" si="4"/>
        <v>390.2000000000007</v>
      </c>
      <c r="F34" s="25">
        <f t="shared" si="4"/>
        <v>205.20000000000073</v>
      </c>
      <c r="G34" s="5">
        <f t="shared" si="4"/>
        <v>85.20000000000073</v>
      </c>
      <c r="H34" s="4">
        <f t="shared" si="4"/>
        <v>265.2000000000007</v>
      </c>
      <c r="I34" s="5">
        <f t="shared" si="4"/>
        <v>385.2000000000007</v>
      </c>
      <c r="J34" s="175"/>
      <c r="K34" s="176"/>
      <c r="L34" s="36"/>
    </row>
    <row r="35" spans="1:12" ht="12.75">
      <c r="A35" s="38" t="s">
        <v>84</v>
      </c>
      <c r="B35" s="25">
        <f aca="true" t="shared" si="5" ref="B35:I35">MAX(ABS(B24-B31),ABS(B24-B32))</f>
        <v>496.1999999999998</v>
      </c>
      <c r="C35" s="4">
        <f t="shared" si="5"/>
        <v>616.1999999999998</v>
      </c>
      <c r="D35" s="25">
        <f t="shared" si="5"/>
        <v>470.2000000000007</v>
      </c>
      <c r="E35" s="4">
        <f t="shared" si="5"/>
        <v>590.2000000000007</v>
      </c>
      <c r="F35" s="25">
        <f t="shared" si="5"/>
        <v>405.2000000000007</v>
      </c>
      <c r="G35" s="5">
        <f t="shared" si="5"/>
        <v>285.2000000000007</v>
      </c>
      <c r="H35" s="4">
        <f t="shared" si="5"/>
        <v>465.2000000000007</v>
      </c>
      <c r="I35" s="5">
        <f t="shared" si="5"/>
        <v>585.2000000000007</v>
      </c>
      <c r="J35" s="174"/>
      <c r="K35" s="173"/>
      <c r="L35" s="36"/>
    </row>
    <row r="36" spans="1:12" ht="12.75">
      <c r="A36" s="37" t="s">
        <v>83</v>
      </c>
      <c r="B36" s="139">
        <f aca="true" t="shared" si="6" ref="B36:I36">MAX(ABS(B21-B31),ABS(B21-B32))</f>
        <v>501</v>
      </c>
      <c r="C36" s="138">
        <f t="shared" si="6"/>
        <v>621</v>
      </c>
      <c r="D36" s="139">
        <f t="shared" si="6"/>
        <v>475</v>
      </c>
      <c r="E36" s="138">
        <f t="shared" si="6"/>
        <v>595</v>
      </c>
      <c r="F36" s="137">
        <f t="shared" si="6"/>
        <v>410</v>
      </c>
      <c r="G36" s="140">
        <f t="shared" si="6"/>
        <v>290</v>
      </c>
      <c r="H36" s="139">
        <f t="shared" si="6"/>
        <v>470</v>
      </c>
      <c r="I36" s="138">
        <f t="shared" si="6"/>
        <v>590</v>
      </c>
      <c r="J36" s="171" t="s">
        <v>94</v>
      </c>
      <c r="K36" s="172" t="s">
        <v>94</v>
      </c>
      <c r="L36" s="36"/>
    </row>
    <row r="37" spans="1:12" ht="12.75">
      <c r="A37" s="39" t="s">
        <v>46</v>
      </c>
      <c r="B37" s="25">
        <v>9.57</v>
      </c>
      <c r="C37" s="4">
        <f>$B37</f>
        <v>9.57</v>
      </c>
      <c r="D37" s="25">
        <f>$B37</f>
        <v>9.57</v>
      </c>
      <c r="E37" s="4">
        <f>$B37</f>
        <v>9.57</v>
      </c>
      <c r="F37" s="28">
        <f>28</f>
        <v>28</v>
      </c>
      <c r="G37" s="71">
        <v>28.18</v>
      </c>
      <c r="H37" s="4">
        <f>$B37</f>
        <v>9.57</v>
      </c>
      <c r="I37" s="5">
        <f>$B37</f>
        <v>9.57</v>
      </c>
      <c r="J37" s="25"/>
      <c r="K37" s="5"/>
      <c r="L37" s="177"/>
    </row>
    <row r="38" spans="1:12" ht="12.75">
      <c r="A38" s="38" t="s">
        <v>75</v>
      </c>
      <c r="B38" s="26"/>
      <c r="C38" s="46"/>
      <c r="D38" s="26"/>
      <c r="E38" s="46"/>
      <c r="F38" s="106">
        <v>5</v>
      </c>
      <c r="G38" s="16">
        <v>5</v>
      </c>
      <c r="H38" s="46"/>
      <c r="I38" s="10"/>
      <c r="J38" s="134"/>
      <c r="K38" s="135"/>
      <c r="L38" s="36"/>
    </row>
    <row r="39" spans="1:12" ht="12.75">
      <c r="A39" s="39" t="s">
        <v>69</v>
      </c>
      <c r="B39" s="116">
        <f>B34+B37</f>
        <v>305.7699999999998</v>
      </c>
      <c r="C39" s="46">
        <f aca="true" t="shared" si="7" ref="C39:I39">C34+C37</f>
        <v>425.7699999999998</v>
      </c>
      <c r="D39" s="26">
        <f t="shared" si="7"/>
        <v>279.7700000000007</v>
      </c>
      <c r="E39" s="46">
        <f t="shared" si="7"/>
        <v>399.7700000000007</v>
      </c>
      <c r="F39" s="116">
        <f>F34+F37+F38</f>
        <v>238.20000000000073</v>
      </c>
      <c r="G39" s="122">
        <f>G34+G37+G38</f>
        <v>118.38000000000073</v>
      </c>
      <c r="H39" s="46">
        <f t="shared" si="7"/>
        <v>274.7700000000007</v>
      </c>
      <c r="I39" s="10">
        <f t="shared" si="7"/>
        <v>394.7700000000007</v>
      </c>
      <c r="J39" s="26">
        <f>J25-J23</f>
        <v>38.2</v>
      </c>
      <c r="K39" s="10">
        <f>K25-K23</f>
        <v>27.2</v>
      </c>
      <c r="L39" s="36"/>
    </row>
    <row r="40" spans="1:12" s="6" customFormat="1" ht="12.75">
      <c r="A40" s="155" t="s">
        <v>34</v>
      </c>
      <c r="B40" s="156">
        <f aca="true" t="shared" si="8" ref="B40:K40">B39+$B10+$B11</f>
        <v>305.01094922737286</v>
      </c>
      <c r="C40" s="157">
        <f t="shared" si="8"/>
        <v>425.01094922737286</v>
      </c>
      <c r="D40" s="158">
        <f t="shared" si="8"/>
        <v>279.01094922737377</v>
      </c>
      <c r="E40" s="157">
        <f t="shared" si="8"/>
        <v>399.01094922737377</v>
      </c>
      <c r="F40" s="156">
        <f t="shared" si="8"/>
        <v>237.4409492273738</v>
      </c>
      <c r="G40" s="159">
        <f t="shared" si="8"/>
        <v>117.62094922737381</v>
      </c>
      <c r="H40" s="160">
        <f t="shared" si="8"/>
        <v>274.01094922737377</v>
      </c>
      <c r="I40" s="161">
        <f t="shared" si="8"/>
        <v>394.01094922737377</v>
      </c>
      <c r="J40" s="156">
        <f t="shared" si="8"/>
        <v>37.44094922737307</v>
      </c>
      <c r="K40" s="159">
        <f t="shared" si="8"/>
        <v>26.440949227373068</v>
      </c>
      <c r="L40" s="182">
        <v>1703</v>
      </c>
    </row>
    <row r="41" spans="1:12" s="6" customFormat="1" ht="12.75">
      <c r="A41" s="100" t="s">
        <v>86</v>
      </c>
      <c r="B41" s="85">
        <v>97.44</v>
      </c>
      <c r="C41" s="87">
        <v>111.26</v>
      </c>
      <c r="D41" s="86">
        <f>B41</f>
        <v>97.44</v>
      </c>
      <c r="E41" s="86">
        <f>C41</f>
        <v>111.26</v>
      </c>
      <c r="F41" s="85">
        <v>85.34</v>
      </c>
      <c r="G41" s="87">
        <v>59.34</v>
      </c>
      <c r="H41" s="86">
        <f>B41</f>
        <v>97.44</v>
      </c>
      <c r="I41" s="87">
        <f>C41</f>
        <v>111.26</v>
      </c>
      <c r="J41" s="85">
        <v>30.95</v>
      </c>
      <c r="K41" s="87">
        <v>18.86</v>
      </c>
      <c r="L41" s="181">
        <v>1360</v>
      </c>
    </row>
    <row r="42" spans="1:12" s="79" customFormat="1" ht="12.75">
      <c r="A42" s="101" t="s">
        <v>48</v>
      </c>
      <c r="B42" s="80">
        <f aca="true" t="shared" si="9" ref="B42:K42">1/((1/B41)-(1/B40))</f>
        <v>143.1812447904725</v>
      </c>
      <c r="C42" s="82">
        <f t="shared" si="9"/>
        <v>150.71418374186078</v>
      </c>
      <c r="D42" s="81">
        <f t="shared" si="9"/>
        <v>149.73114921963847</v>
      </c>
      <c r="E42" s="81">
        <f t="shared" si="9"/>
        <v>154.27910257199042</v>
      </c>
      <c r="F42" s="80">
        <f t="shared" si="9"/>
        <v>133.22211800777694</v>
      </c>
      <c r="G42" s="81">
        <f t="shared" si="9"/>
        <v>119.75829528655177</v>
      </c>
      <c r="H42" s="80">
        <f t="shared" si="9"/>
        <v>151.21188966557395</v>
      </c>
      <c r="I42" s="82">
        <f t="shared" si="9"/>
        <v>155.0398268540758</v>
      </c>
      <c r="J42" s="80">
        <f t="shared" si="9"/>
        <v>178.52510287715958</v>
      </c>
      <c r="K42" s="82">
        <f t="shared" si="9"/>
        <v>65.7801928850348</v>
      </c>
      <c r="L42" s="182">
        <v>6740</v>
      </c>
    </row>
    <row r="43" spans="1:12" s="6" customFormat="1" ht="12.75">
      <c r="A43" s="36" t="s">
        <v>16</v>
      </c>
      <c r="B43" s="146">
        <f aca="true" t="shared" si="10" ref="B43:L43">B42/B40</f>
        <v>0.46942985211897065</v>
      </c>
      <c r="C43" s="130">
        <f t="shared" si="10"/>
        <v>0.3546124729629766</v>
      </c>
      <c r="D43" s="146">
        <f t="shared" si="10"/>
        <v>0.5366497251604933</v>
      </c>
      <c r="E43" s="150">
        <f t="shared" si="10"/>
        <v>0.3866538070464715</v>
      </c>
      <c r="F43" s="130">
        <f t="shared" si="10"/>
        <v>0.5610747364398516</v>
      </c>
      <c r="G43" s="147">
        <f t="shared" si="10"/>
        <v>1.0181714743267904</v>
      </c>
      <c r="H43" s="146">
        <f t="shared" si="10"/>
        <v>0.5518461583084353</v>
      </c>
      <c r="I43" s="150">
        <f t="shared" si="10"/>
        <v>0.39349116352755525</v>
      </c>
      <c r="J43" s="130">
        <f t="shared" si="10"/>
        <v>4.76817779893892</v>
      </c>
      <c r="K43" s="148">
        <f t="shared" si="10"/>
        <v>2.48781510525105</v>
      </c>
      <c r="L43" s="178">
        <f t="shared" si="10"/>
        <v>3.9577216676453317</v>
      </c>
    </row>
    <row r="44" spans="1:12" s="6" customFormat="1" ht="12.75">
      <c r="A44" s="36" t="s">
        <v>90</v>
      </c>
      <c r="B44" s="22">
        <v>340</v>
      </c>
      <c r="C44" s="12">
        <v>340</v>
      </c>
      <c r="D44" s="22">
        <v>340</v>
      </c>
      <c r="E44" s="11">
        <v>340</v>
      </c>
      <c r="F44" s="12">
        <v>340</v>
      </c>
      <c r="G44" s="12">
        <v>120</v>
      </c>
      <c r="H44" s="22">
        <v>340</v>
      </c>
      <c r="I44" s="11">
        <v>340</v>
      </c>
      <c r="J44" s="12">
        <v>30</v>
      </c>
      <c r="K44" s="11">
        <v>85</v>
      </c>
      <c r="L44" s="179">
        <v>30</v>
      </c>
    </row>
    <row r="45" spans="1:12" s="6" customFormat="1" ht="12.75">
      <c r="A45" s="36" t="s">
        <v>89</v>
      </c>
      <c r="B45" s="28">
        <f>B43*B44/120</f>
        <v>1.330051247670417</v>
      </c>
      <c r="C45" s="48">
        <f aca="true" t="shared" si="11" ref="C45:L45">C43*C44/120</f>
        <v>1.004735340061767</v>
      </c>
      <c r="D45" s="28">
        <f t="shared" si="11"/>
        <v>1.5205075546213975</v>
      </c>
      <c r="E45" s="14">
        <f t="shared" si="11"/>
        <v>1.0955191199650025</v>
      </c>
      <c r="F45" s="48">
        <f t="shared" si="11"/>
        <v>1.5897117532462461</v>
      </c>
      <c r="G45" s="48">
        <f t="shared" si="11"/>
        <v>1.0181714743267904</v>
      </c>
      <c r="H45" s="28">
        <f t="shared" si="11"/>
        <v>1.5635641152072333</v>
      </c>
      <c r="I45" s="14">
        <f t="shared" si="11"/>
        <v>1.11489162999474</v>
      </c>
      <c r="J45" s="48">
        <f t="shared" si="11"/>
        <v>1.19204444973473</v>
      </c>
      <c r="K45" s="14">
        <f t="shared" si="11"/>
        <v>1.7622023662194937</v>
      </c>
      <c r="L45" s="180">
        <f t="shared" si="11"/>
        <v>0.9894304169113329</v>
      </c>
    </row>
    <row r="46" spans="1:12" s="6" customFormat="1" ht="12.75">
      <c r="A46" s="36" t="s">
        <v>47</v>
      </c>
      <c r="B46" s="29">
        <v>0.9</v>
      </c>
      <c r="C46" s="13">
        <f>$B$46</f>
        <v>0.9</v>
      </c>
      <c r="D46" s="29">
        <v>0.9</v>
      </c>
      <c r="E46" s="3">
        <v>0.9</v>
      </c>
      <c r="F46" s="13">
        <v>0.9</v>
      </c>
      <c r="G46" s="13">
        <v>0.9</v>
      </c>
      <c r="H46" s="29">
        <v>0.9</v>
      </c>
      <c r="I46" s="3">
        <v>0.9</v>
      </c>
      <c r="J46" s="13">
        <v>0.9</v>
      </c>
      <c r="K46" s="3">
        <v>0.9</v>
      </c>
      <c r="L46" s="3">
        <v>0.9</v>
      </c>
    </row>
    <row r="47" spans="1:12" s="6" customFormat="1" ht="12.75">
      <c r="A47" s="38" t="s">
        <v>8</v>
      </c>
      <c r="B47" s="103">
        <f aca="true" t="shared" si="12" ref="B47:I47">1/B43</f>
        <v>2.1302437318080134</v>
      </c>
      <c r="C47" s="149">
        <f t="shared" si="12"/>
        <v>2.8199797701543488</v>
      </c>
      <c r="D47" s="103">
        <f t="shared" si="12"/>
        <v>1.8634128615288768</v>
      </c>
      <c r="E47" s="104">
        <f t="shared" si="12"/>
        <v>2.586292910546232</v>
      </c>
      <c r="F47" s="149">
        <f t="shared" si="12"/>
        <v>1.7822937570585164</v>
      </c>
      <c r="G47" s="149">
        <f t="shared" si="12"/>
        <v>0.9821528349742804</v>
      </c>
      <c r="H47" s="103">
        <f t="shared" si="12"/>
        <v>1.8120992326290413</v>
      </c>
      <c r="I47" s="104">
        <f t="shared" si="12"/>
        <v>2.5413531298523617</v>
      </c>
      <c r="J47" s="149">
        <f>1/J43</f>
        <v>0.20972372301690043</v>
      </c>
      <c r="K47" s="104">
        <f>1/K43</f>
        <v>0.4019591318861649</v>
      </c>
      <c r="L47" s="104">
        <f>1/L43</f>
        <v>0.2526706231454006</v>
      </c>
    </row>
    <row r="48" spans="1:12" s="6" customFormat="1" ht="12.75">
      <c r="A48" s="50" t="s">
        <v>32</v>
      </c>
      <c r="B48" s="62">
        <f aca="true" t="shared" si="13" ref="B48:I48">4.6*B47</f>
        <v>9.79912116631686</v>
      </c>
      <c r="C48" s="63">
        <f t="shared" si="13"/>
        <v>12.971906942710003</v>
      </c>
      <c r="D48" s="62">
        <f t="shared" si="13"/>
        <v>8.571699163032832</v>
      </c>
      <c r="E48" s="63">
        <f t="shared" si="13"/>
        <v>11.896947388512666</v>
      </c>
      <c r="F48" s="62">
        <f t="shared" si="13"/>
        <v>8.198551282469175</v>
      </c>
      <c r="G48" s="64">
        <f t="shared" si="13"/>
        <v>4.51790304088169</v>
      </c>
      <c r="H48" s="63">
        <f t="shared" si="13"/>
        <v>8.33565647009359</v>
      </c>
      <c r="I48" s="64">
        <f t="shared" si="13"/>
        <v>11.690224397320863</v>
      </c>
      <c r="J48" s="62">
        <f>4.6*J47</f>
        <v>0.9647291258777418</v>
      </c>
      <c r="K48" s="64">
        <f>4.6*K47</f>
        <v>1.8490120066763585</v>
      </c>
      <c r="L48" s="38"/>
    </row>
    <row r="49" spans="1:12" s="6" customFormat="1" ht="12.75">
      <c r="A49" s="38" t="s">
        <v>31</v>
      </c>
      <c r="B49" s="30">
        <f>3.44*B47</f>
        <v>7.328038437419566</v>
      </c>
      <c r="C49" s="47">
        <f aca="true" t="shared" si="14" ref="C49:I49">3.44*C47</f>
        <v>9.70073040933096</v>
      </c>
      <c r="D49" s="30">
        <f t="shared" si="14"/>
        <v>6.4101402436593355</v>
      </c>
      <c r="E49" s="47">
        <f t="shared" si="14"/>
        <v>8.896847612279037</v>
      </c>
      <c r="F49" s="30">
        <f>3.44*F47</f>
        <v>6.131090524281296</v>
      </c>
      <c r="G49" s="15">
        <f t="shared" si="14"/>
        <v>3.3786057523115245</v>
      </c>
      <c r="H49" s="47">
        <f t="shared" si="14"/>
        <v>6.233621360243902</v>
      </c>
      <c r="I49" s="15">
        <f t="shared" si="14"/>
        <v>8.742254766692124</v>
      </c>
      <c r="J49" s="30">
        <f>3.44*J47</f>
        <v>0.7214496071781374</v>
      </c>
      <c r="K49" s="15">
        <f>3.44*K47</f>
        <v>1.3827394136884072</v>
      </c>
      <c r="L49" s="38"/>
    </row>
    <row r="50" spans="1:12" s="6" customFormat="1" ht="12.75">
      <c r="A50" s="39" t="s">
        <v>30</v>
      </c>
      <c r="B50" s="66">
        <f>18*B44/1000</f>
        <v>6.12</v>
      </c>
      <c r="C50" s="47">
        <f aca="true" t="shared" si="15" ref="C50:K50">18*C44/1000</f>
        <v>6.12</v>
      </c>
      <c r="D50" s="66">
        <f t="shared" si="15"/>
        <v>6.12</v>
      </c>
      <c r="E50" s="47">
        <f t="shared" si="15"/>
        <v>6.12</v>
      </c>
      <c r="F50" s="66">
        <f t="shared" si="15"/>
        <v>6.12</v>
      </c>
      <c r="G50" s="47">
        <f t="shared" si="15"/>
        <v>2.16</v>
      </c>
      <c r="H50" s="66">
        <f t="shared" si="15"/>
        <v>6.12</v>
      </c>
      <c r="I50" s="47">
        <f t="shared" si="15"/>
        <v>6.12</v>
      </c>
      <c r="J50" s="66">
        <f t="shared" si="15"/>
        <v>0.54</v>
      </c>
      <c r="K50" s="47">
        <f t="shared" si="15"/>
        <v>1.53</v>
      </c>
      <c r="L50" s="38"/>
    </row>
    <row r="51" spans="1:12" s="6" customFormat="1" ht="12.75">
      <c r="A51" s="69" t="s">
        <v>41</v>
      </c>
      <c r="B51" s="62">
        <f>(16+B48)/2-B50</f>
        <v>6.779560583158429</v>
      </c>
      <c r="C51" s="63">
        <f aca="true" t="shared" si="16" ref="C51:I51">(16+C48)/2-C50</f>
        <v>8.365953471355002</v>
      </c>
      <c r="D51" s="62">
        <f t="shared" si="16"/>
        <v>6.165849581516416</v>
      </c>
      <c r="E51" s="63">
        <f t="shared" si="16"/>
        <v>7.828473694256332</v>
      </c>
      <c r="F51" s="62">
        <f t="shared" si="16"/>
        <v>5.9792756412345875</v>
      </c>
      <c r="G51" s="64">
        <f t="shared" si="16"/>
        <v>8.098951520440846</v>
      </c>
      <c r="H51" s="63">
        <f t="shared" si="16"/>
        <v>6.0478282350467945</v>
      </c>
      <c r="I51" s="64">
        <f t="shared" si="16"/>
        <v>7.7251121986604305</v>
      </c>
      <c r="J51" s="184">
        <f>((16+J48)/2-J50)*J43</f>
        <v>37.87060638008435</v>
      </c>
      <c r="K51" s="151">
        <f>((16+K48)/2-K50)*K43</f>
        <v>18.39616373097429</v>
      </c>
      <c r="L51" s="38"/>
    </row>
    <row r="52" spans="1:12" s="6" customFormat="1" ht="12.75">
      <c r="A52" s="65" t="s">
        <v>42</v>
      </c>
      <c r="B52" s="66">
        <f>(16+B49)/2-B50</f>
        <v>5.544019218709782</v>
      </c>
      <c r="C52" s="67">
        <f aca="true" t="shared" si="17" ref="C52:I52">(18+C49)/2-C50</f>
        <v>7.730365204665479</v>
      </c>
      <c r="D52" s="66">
        <f t="shared" si="17"/>
        <v>6.085070121829667</v>
      </c>
      <c r="E52" s="67">
        <f t="shared" si="17"/>
        <v>7.3284238061395195</v>
      </c>
      <c r="F52" s="66">
        <f>(18+F49)/2-F50</f>
        <v>5.945545262140649</v>
      </c>
      <c r="G52" s="68">
        <f t="shared" si="17"/>
        <v>8.529302876155763</v>
      </c>
      <c r="H52" s="67">
        <f t="shared" si="17"/>
        <v>5.996810680121951</v>
      </c>
      <c r="I52" s="68">
        <f t="shared" si="17"/>
        <v>7.251127383346062</v>
      </c>
      <c r="J52" s="185">
        <f>((18+J49)/2-J50)*J43</f>
        <v>42.05878417902326</v>
      </c>
      <c r="K52" s="152">
        <f>((18+K49)/2-K50)*K43</f>
        <v>20.303978836225347</v>
      </c>
      <c r="L52" s="38"/>
    </row>
    <row r="53" spans="1:12" s="6" customFormat="1" ht="12.75">
      <c r="A53" s="39" t="s">
        <v>43</v>
      </c>
      <c r="B53" s="30">
        <f>(16-B48)/2</f>
        <v>3.10043941684157</v>
      </c>
      <c r="C53" s="83">
        <f aca="true" t="shared" si="18" ref="C53:I53">(16-C48)/2</f>
        <v>1.5140465286449984</v>
      </c>
      <c r="D53" s="30">
        <f t="shared" si="18"/>
        <v>3.714150418483584</v>
      </c>
      <c r="E53" s="83">
        <f t="shared" si="18"/>
        <v>2.051526305743667</v>
      </c>
      <c r="F53" s="30">
        <f t="shared" si="18"/>
        <v>3.9007243587654123</v>
      </c>
      <c r="G53" s="15">
        <f t="shared" si="18"/>
        <v>5.741048479559155</v>
      </c>
      <c r="H53" s="47">
        <f t="shared" si="18"/>
        <v>3.8321717649532054</v>
      </c>
      <c r="I53" s="84">
        <f t="shared" si="18"/>
        <v>2.1548878013395685</v>
      </c>
      <c r="J53" s="186">
        <f>((16-J48)/2)*J43</f>
        <v>35.84542239151136</v>
      </c>
      <c r="K53" s="153">
        <f>((16-K48)/2)*K43</f>
        <v>17.6025208420084</v>
      </c>
      <c r="L53" s="38"/>
    </row>
    <row r="54" spans="1:12" s="6" customFormat="1" ht="12.75">
      <c r="A54" s="39" t="s">
        <v>82</v>
      </c>
      <c r="B54" s="30">
        <v>16</v>
      </c>
      <c r="C54" s="83">
        <v>17</v>
      </c>
      <c r="D54" s="30">
        <v>16</v>
      </c>
      <c r="E54" s="83">
        <v>17</v>
      </c>
      <c r="F54" s="30">
        <v>16</v>
      </c>
      <c r="G54" s="15">
        <v>16</v>
      </c>
      <c r="H54" s="47">
        <v>16</v>
      </c>
      <c r="I54" s="84">
        <v>17</v>
      </c>
      <c r="J54" s="30">
        <v>16</v>
      </c>
      <c r="K54" s="78">
        <v>16</v>
      </c>
      <c r="L54" s="38"/>
    </row>
    <row r="55" spans="1:12" s="6" customFormat="1" ht="12.75">
      <c r="A55" s="65" t="s">
        <v>44</v>
      </c>
      <c r="B55" s="66">
        <f>(16-B48*3.44/4.6)/2</f>
        <v>4.335980781290218</v>
      </c>
      <c r="C55" s="67">
        <f aca="true" t="shared" si="19" ref="C55:I55">(16-C48*3.44/4.6)/2</f>
        <v>3.1496347953345207</v>
      </c>
      <c r="D55" s="66">
        <f t="shared" si="19"/>
        <v>4.794929878170333</v>
      </c>
      <c r="E55" s="67">
        <f t="shared" si="19"/>
        <v>3.5515761938604813</v>
      </c>
      <c r="F55" s="66">
        <f t="shared" si="19"/>
        <v>4.934454737859351</v>
      </c>
      <c r="G55" s="68">
        <f t="shared" si="19"/>
        <v>6.310697123844237</v>
      </c>
      <c r="H55" s="67">
        <f t="shared" si="19"/>
        <v>4.883189319878049</v>
      </c>
      <c r="I55" s="68">
        <f t="shared" si="19"/>
        <v>3.628872616653938</v>
      </c>
      <c r="J55" s="185">
        <f>((16-J48*3.44/4.6)/2)*J43</f>
        <v>36.42542239151136</v>
      </c>
      <c r="K55" s="152">
        <f>((16-K48*3.44/4.6)/2)*K43</f>
        <v>18.1825208420084</v>
      </c>
      <c r="L55" s="38"/>
    </row>
    <row r="56" spans="1:12" s="6" customFormat="1" ht="12.75">
      <c r="A56" s="36" t="s">
        <v>97</v>
      </c>
      <c r="B56" s="94" t="s">
        <v>37</v>
      </c>
      <c r="C56" s="95" t="s">
        <v>118</v>
      </c>
      <c r="D56" s="94" t="s">
        <v>114</v>
      </c>
      <c r="E56" s="95" t="s">
        <v>115</v>
      </c>
      <c r="F56" s="96" t="s">
        <v>39</v>
      </c>
      <c r="G56" s="97" t="s">
        <v>40</v>
      </c>
      <c r="H56" s="98" t="s">
        <v>116</v>
      </c>
      <c r="I56" s="99" t="s">
        <v>117</v>
      </c>
      <c r="J56" s="141" t="s">
        <v>78</v>
      </c>
      <c r="K56" s="129" t="s">
        <v>79</v>
      </c>
      <c r="L56" s="183" t="s">
        <v>95</v>
      </c>
    </row>
    <row r="57" spans="1:12" s="6" customFormat="1" ht="12.75">
      <c r="A57" s="193" t="s">
        <v>105</v>
      </c>
      <c r="B57" s="194">
        <v>5</v>
      </c>
      <c r="C57" s="195">
        <v>5</v>
      </c>
      <c r="D57" s="194">
        <v>5</v>
      </c>
      <c r="E57" s="195">
        <v>5</v>
      </c>
      <c r="F57" s="194">
        <v>5</v>
      </c>
      <c r="G57" s="196">
        <v>4.5</v>
      </c>
      <c r="H57" s="197">
        <v>5</v>
      </c>
      <c r="I57" s="198">
        <v>5</v>
      </c>
      <c r="J57" s="199" t="s">
        <v>108</v>
      </c>
      <c r="K57" s="200" t="s">
        <v>113</v>
      </c>
      <c r="L57" s="213">
        <v>40</v>
      </c>
    </row>
    <row r="58" spans="1:12" s="6" customFormat="1" ht="12.75">
      <c r="A58" s="201" t="s">
        <v>106</v>
      </c>
      <c r="B58" s="202">
        <v>0.15</v>
      </c>
      <c r="C58" s="203">
        <v>0.15</v>
      </c>
      <c r="D58" s="204" t="s">
        <v>107</v>
      </c>
      <c r="E58" s="195"/>
      <c r="F58" s="202">
        <v>0.15</v>
      </c>
      <c r="G58" s="205">
        <v>0.15</v>
      </c>
      <c r="H58" s="202">
        <f>B58</f>
        <v>0.15</v>
      </c>
      <c r="I58" s="205">
        <f>C58</f>
        <v>0.15</v>
      </c>
      <c r="J58" s="202" t="s">
        <v>109</v>
      </c>
      <c r="K58" s="205" t="s">
        <v>109</v>
      </c>
      <c r="L58" s="192"/>
    </row>
    <row r="59" spans="1:12" s="6" customFormat="1" ht="12.75">
      <c r="A59" s="206" t="s">
        <v>111</v>
      </c>
      <c r="B59" s="207">
        <v>2.5</v>
      </c>
      <c r="C59" s="195">
        <v>3</v>
      </c>
      <c r="D59" s="208" t="s">
        <v>37</v>
      </c>
      <c r="E59" s="209" t="s">
        <v>38</v>
      </c>
      <c r="F59" s="194">
        <v>3</v>
      </c>
      <c r="G59" s="210">
        <v>2</v>
      </c>
      <c r="H59" s="211">
        <f>B59</f>
        <v>2.5</v>
      </c>
      <c r="I59" s="210">
        <f>C59</f>
        <v>3</v>
      </c>
      <c r="J59" s="194" t="s">
        <v>112</v>
      </c>
      <c r="K59" s="205" t="s">
        <v>110</v>
      </c>
      <c r="L59" s="192"/>
    </row>
    <row r="60" spans="1:12" s="8" customFormat="1" ht="12.75">
      <c r="A60" s="35" t="s">
        <v>49</v>
      </c>
      <c r="B60" s="88">
        <v>0.002</v>
      </c>
      <c r="C60" s="89">
        <f>$B60</f>
        <v>0.002</v>
      </c>
      <c r="D60" s="88">
        <f>$B60</f>
        <v>0.002</v>
      </c>
      <c r="E60" s="90">
        <f>$B60</f>
        <v>0.002</v>
      </c>
      <c r="F60" s="89">
        <f>$B60</f>
        <v>0.002</v>
      </c>
      <c r="G60" s="90">
        <f>$B60</f>
        <v>0.002</v>
      </c>
      <c r="H60" s="89">
        <f>$B60*0</f>
        <v>0</v>
      </c>
      <c r="I60" s="90">
        <f>$B60*0</f>
        <v>0</v>
      </c>
      <c r="J60" s="89">
        <v>0.02</v>
      </c>
      <c r="K60" s="90">
        <v>0.02</v>
      </c>
      <c r="L60" s="36"/>
    </row>
    <row r="61" spans="1:12" ht="12.75">
      <c r="A61" s="36" t="s">
        <v>50</v>
      </c>
      <c r="B61" s="49">
        <f aca="true" t="shared" si="20" ref="B61:K61">B42-(1/((1/(B41*(1+B60)))-(1/B40)))</f>
        <v>-0.4211850243647177</v>
      </c>
      <c r="C61" s="55">
        <f t="shared" si="20"/>
        <v>-0.40860842158403443</v>
      </c>
      <c r="D61" s="49">
        <f t="shared" si="20"/>
        <v>-0.46066308803176526</v>
      </c>
      <c r="E61" s="56">
        <f t="shared" si="20"/>
        <v>-0.4281945359533097</v>
      </c>
      <c r="F61" s="55">
        <f t="shared" si="20"/>
        <v>-0.4164066360009713</v>
      </c>
      <c r="G61" s="56">
        <f t="shared" si="20"/>
        <v>-0.484371898021692</v>
      </c>
      <c r="H61" s="55">
        <f t="shared" si="20"/>
        <v>0</v>
      </c>
      <c r="I61" s="56">
        <f t="shared" si="20"/>
        <v>0</v>
      </c>
      <c r="J61" s="49">
        <f t="shared" si="20"/>
        <v>-22.766372983867257</v>
      </c>
      <c r="K61" s="56">
        <f t="shared" si="20"/>
        <v>-4.828848660169896</v>
      </c>
      <c r="L61" s="36"/>
    </row>
    <row r="62" spans="1:12" ht="12.75">
      <c r="A62" s="36" t="s">
        <v>51</v>
      </c>
      <c r="B62" s="49">
        <f aca="true" t="shared" si="21" ref="B62:K62">B42-(1/((1/(B41*(1-B60)))-(1/B40)))</f>
        <v>0.4203948988869115</v>
      </c>
      <c r="C62" s="55">
        <f t="shared" si="21"/>
        <v>0.4080292417813496</v>
      </c>
      <c r="D62" s="49">
        <f t="shared" si="21"/>
        <v>0.45967528935725</v>
      </c>
      <c r="E62" s="56">
        <f t="shared" si="21"/>
        <v>0.42753279549228296</v>
      </c>
      <c r="F62" s="55">
        <f t="shared" si="21"/>
        <v>0.41547314254603407</v>
      </c>
      <c r="G62" s="56">
        <f t="shared" si="21"/>
        <v>0.4824032123428026</v>
      </c>
      <c r="H62" s="55">
        <f t="shared" si="21"/>
        <v>0</v>
      </c>
      <c r="I62" s="56">
        <f t="shared" si="21"/>
        <v>0</v>
      </c>
      <c r="J62" s="49">
        <f t="shared" si="21"/>
        <v>18.80224203824568</v>
      </c>
      <c r="K62" s="56">
        <f t="shared" si="21"/>
        <v>4.371093555917511</v>
      </c>
      <c r="L62" s="36"/>
    </row>
    <row r="63" spans="1:12" ht="12.75">
      <c r="A63" s="18" t="s">
        <v>99</v>
      </c>
      <c r="B63" s="18">
        <v>10</v>
      </c>
      <c r="C63" s="41">
        <f>$B63</f>
        <v>10</v>
      </c>
      <c r="D63" s="18">
        <f>$B63</f>
        <v>10</v>
      </c>
      <c r="E63" s="19">
        <f>$B63</f>
        <v>10</v>
      </c>
      <c r="F63" s="18">
        <f>$B63</f>
        <v>10</v>
      </c>
      <c r="G63" s="19">
        <f>$B63</f>
        <v>10</v>
      </c>
      <c r="H63" s="41">
        <v>1</v>
      </c>
      <c r="I63" s="19">
        <v>1</v>
      </c>
      <c r="J63" s="18">
        <v>1</v>
      </c>
      <c r="K63" s="19">
        <v>1</v>
      </c>
      <c r="L63" s="36"/>
    </row>
    <row r="64" spans="1:12" ht="12.75">
      <c r="A64" s="25" t="s">
        <v>70</v>
      </c>
      <c r="B64" s="74">
        <f aca="true" t="shared" si="22" ref="B64:I64">B42-(1/((1/B41)-(1/(B40-B63))))</f>
        <v>-2.3151806968255926</v>
      </c>
      <c r="C64" s="70">
        <f t="shared" si="22"/>
        <v>-1.2988991093597235</v>
      </c>
      <c r="D64" s="74">
        <f t="shared" si="22"/>
        <v>-3.047785738501659</v>
      </c>
      <c r="E64" s="75">
        <f t="shared" si="22"/>
        <v>-1.5488372836045414</v>
      </c>
      <c r="F64" s="74">
        <f t="shared" si="22"/>
        <v>-3.3695846697801812</v>
      </c>
      <c r="G64" s="75">
        <f t="shared" si="22"/>
        <v>-12.513899633998165</v>
      </c>
      <c r="H64" s="70">
        <f t="shared" si="22"/>
        <v>-0.30626871872712513</v>
      </c>
      <c r="I64" s="75">
        <f t="shared" si="22"/>
        <v>-0.15538484244373763</v>
      </c>
      <c r="J64" s="187">
        <f>-J63</f>
        <v>-1</v>
      </c>
      <c r="K64" s="136">
        <f>-K63</f>
        <v>-1</v>
      </c>
      <c r="L64" s="36"/>
    </row>
    <row r="65" spans="1:12" ht="12.75">
      <c r="A65" s="120" t="s">
        <v>76</v>
      </c>
      <c r="B65" s="117">
        <f aca="true" t="shared" si="23" ref="B65:I65">B42-(1/((1/B41)-(1/(B40+B63))))</f>
        <v>2.1023599406495634</v>
      </c>
      <c r="C65" s="118">
        <f t="shared" si="23"/>
        <v>1.2186584730027334</v>
      </c>
      <c r="D65" s="117">
        <f t="shared" si="23"/>
        <v>2.7295970203485638</v>
      </c>
      <c r="E65" s="119">
        <f t="shared" si="23"/>
        <v>1.4448015256918438</v>
      </c>
      <c r="F65" s="117">
        <f t="shared" si="23"/>
        <v>2.9538456274314626</v>
      </c>
      <c r="G65" s="119">
        <f t="shared" si="23"/>
        <v>8.84848496838562</v>
      </c>
      <c r="H65" s="118">
        <f t="shared" si="23"/>
        <v>0.30281918241436756</v>
      </c>
      <c r="I65" s="119">
        <f t="shared" si="23"/>
        <v>0.15428962254853218</v>
      </c>
      <c r="J65" s="188">
        <f>J63</f>
        <v>1</v>
      </c>
      <c r="K65" s="189">
        <f>K63</f>
        <v>1</v>
      </c>
      <c r="L65" s="36"/>
    </row>
    <row r="66" spans="1:12" ht="12.75">
      <c r="A66" s="38" t="s">
        <v>77</v>
      </c>
      <c r="B66" s="27">
        <v>20.7</v>
      </c>
      <c r="C66" s="4">
        <f>$B66</f>
        <v>20.7</v>
      </c>
      <c r="D66" s="25">
        <f>$B66</f>
        <v>20.7</v>
      </c>
      <c r="E66" s="4">
        <f>$B66</f>
        <v>20.7</v>
      </c>
      <c r="F66" s="25">
        <f>$B66</f>
        <v>20.7</v>
      </c>
      <c r="G66" s="5">
        <f>$B66</f>
        <v>20.7</v>
      </c>
      <c r="H66" s="162">
        <v>18.6</v>
      </c>
      <c r="I66" s="163">
        <v>18.6</v>
      </c>
      <c r="J66" s="214">
        <v>8</v>
      </c>
      <c r="K66" s="212">
        <v>8</v>
      </c>
      <c r="L66" s="36"/>
    </row>
    <row r="67" spans="1:12" ht="12.75">
      <c r="A67" s="38" t="s">
        <v>98</v>
      </c>
      <c r="B67" s="30"/>
      <c r="D67" s="30"/>
      <c r="E67" s="15"/>
      <c r="F67" s="47"/>
      <c r="G67" s="15"/>
      <c r="H67" s="154" t="s">
        <v>92</v>
      </c>
      <c r="I67" s="15"/>
      <c r="J67" s="30"/>
      <c r="K67" s="15"/>
      <c r="L67" s="36"/>
    </row>
    <row r="68" spans="1:12" ht="12.75">
      <c r="A68" s="36" t="s">
        <v>80</v>
      </c>
      <c r="B68" s="76">
        <f aca="true" t="shared" si="24" ref="B68:I68">200-B42-B37-B66-1.7</f>
        <v>24.848755209527496</v>
      </c>
      <c r="C68" s="77">
        <f t="shared" si="24"/>
        <v>17.315816258139222</v>
      </c>
      <c r="D68" s="76">
        <f t="shared" si="24"/>
        <v>18.298850780361533</v>
      </c>
      <c r="E68" s="78">
        <f t="shared" si="24"/>
        <v>13.75089742800958</v>
      </c>
      <c r="F68" s="77">
        <f t="shared" si="24"/>
        <v>16.37788199222306</v>
      </c>
      <c r="G68" s="78">
        <f t="shared" si="24"/>
        <v>29.66170471344823</v>
      </c>
      <c r="H68" s="191">
        <f t="shared" si="24"/>
        <v>18.91811033442605</v>
      </c>
      <c r="I68" s="167">
        <f t="shared" si="24"/>
        <v>15.090173145924187</v>
      </c>
      <c r="J68" s="76"/>
      <c r="K68" s="78"/>
      <c r="L68" s="36"/>
    </row>
    <row r="69" spans="1:12" ht="12.75">
      <c r="A69" s="38" t="s">
        <v>53</v>
      </c>
      <c r="B69" s="30">
        <f aca="true" t="shared" si="25" ref="B69:I69">B61+B64+B68</f>
        <v>22.112389488337186</v>
      </c>
      <c r="C69" s="47">
        <f t="shared" si="25"/>
        <v>15.608308727195464</v>
      </c>
      <c r="D69" s="30">
        <f t="shared" si="25"/>
        <v>14.790401953828109</v>
      </c>
      <c r="E69" s="15">
        <f t="shared" si="25"/>
        <v>11.773865608451729</v>
      </c>
      <c r="F69" s="47">
        <f t="shared" si="25"/>
        <v>12.591890686441907</v>
      </c>
      <c r="G69" s="15">
        <f t="shared" si="25"/>
        <v>16.663433181428374</v>
      </c>
      <c r="H69" s="77">
        <f t="shared" si="25"/>
        <v>18.611841615698925</v>
      </c>
      <c r="I69" s="78">
        <f t="shared" si="25"/>
        <v>14.934788303480449</v>
      </c>
      <c r="J69" s="30"/>
      <c r="K69" s="15"/>
      <c r="L69" s="36"/>
    </row>
    <row r="70" spans="1:12" ht="12.75">
      <c r="A70" s="40" t="s">
        <v>52</v>
      </c>
      <c r="B70" s="93">
        <f aca="true" t="shared" si="26" ref="B70:I70">B62+B65+B68</f>
        <v>27.37151004906397</v>
      </c>
      <c r="C70" s="91">
        <f t="shared" si="26"/>
        <v>18.942503972923305</v>
      </c>
      <c r="D70" s="93">
        <f t="shared" si="26"/>
        <v>21.488123090067347</v>
      </c>
      <c r="E70" s="92">
        <f t="shared" si="26"/>
        <v>15.623231749193707</v>
      </c>
      <c r="F70" s="91">
        <f t="shared" si="26"/>
        <v>19.747200762200556</v>
      </c>
      <c r="G70" s="92">
        <f t="shared" si="26"/>
        <v>38.99259289417665</v>
      </c>
      <c r="H70" s="144">
        <f t="shared" si="26"/>
        <v>19.220929516840418</v>
      </c>
      <c r="I70" s="145">
        <f t="shared" si="26"/>
        <v>15.244462768472719</v>
      </c>
      <c r="J70" s="93"/>
      <c r="K70" s="92"/>
      <c r="L70" s="60"/>
    </row>
    <row r="72" spans="1:2" ht="12.75">
      <c r="A72" s="4"/>
      <c r="B72" s="12" t="s">
        <v>158</v>
      </c>
    </row>
    <row r="74" ht="12.75">
      <c r="K74" s="4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33">
      <selection activeCell="A74" sqref="A74"/>
    </sheetView>
  </sheetViews>
  <sheetFormatPr defaultColWidth="9.00390625" defaultRowHeight="12.75"/>
  <cols>
    <col min="1" max="1" width="46.00390625" style="0" customWidth="1"/>
    <col min="2" max="2" width="7.625" style="0" customWidth="1"/>
    <col min="3" max="3" width="7.00390625" style="0" customWidth="1"/>
    <col min="4" max="4" width="7.375" style="0" customWidth="1"/>
    <col min="5" max="5" width="6.875" style="0" customWidth="1"/>
    <col min="6" max="6" width="6.625" style="0" customWidth="1"/>
    <col min="7" max="7" width="7.125" style="0" customWidth="1"/>
    <col min="8" max="9" width="6.875" style="0" customWidth="1"/>
    <col min="10" max="11" width="7.00390625" style="0" customWidth="1"/>
    <col min="12" max="12" width="5.625" style="0" customWidth="1"/>
  </cols>
  <sheetData>
    <row r="1" spans="1:12" ht="12.75">
      <c r="A1" s="121" t="s">
        <v>20</v>
      </c>
      <c r="B1" s="5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>
      <c r="A2" s="36" t="s">
        <v>19</v>
      </c>
      <c r="B2" s="2">
        <v>-5</v>
      </c>
      <c r="C2" s="8"/>
      <c r="D2" s="4" t="s">
        <v>36</v>
      </c>
      <c r="E2" s="8"/>
      <c r="F2" s="8"/>
      <c r="G2" s="8"/>
      <c r="H2" s="8"/>
      <c r="I2" s="8"/>
      <c r="J2" s="8"/>
      <c r="K2" s="8"/>
      <c r="L2" s="8"/>
    </row>
    <row r="3" spans="1:12" ht="12.75">
      <c r="A3" s="36" t="s">
        <v>71</v>
      </c>
      <c r="B3" s="11">
        <v>-5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.75">
      <c r="A4" s="219" t="s">
        <v>72</v>
      </c>
      <c r="B4" s="11">
        <v>15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>
      <c r="A5" s="36" t="s">
        <v>29</v>
      </c>
      <c r="B5" s="3">
        <v>-0.2</v>
      </c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>
      <c r="A6" s="60" t="s">
        <v>74</v>
      </c>
      <c r="B6" s="107">
        <f>SUM(B2:B5)</f>
        <v>4.8</v>
      </c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.75">
      <c r="A7" s="123" t="s">
        <v>18</v>
      </c>
      <c r="B7" s="124">
        <v>4.1</v>
      </c>
      <c r="C7" s="124">
        <v>4.4</v>
      </c>
      <c r="D7" s="4"/>
      <c r="E7" s="4"/>
      <c r="F7" s="4"/>
      <c r="G7" s="4"/>
      <c r="H7" s="8"/>
      <c r="I7" s="8"/>
      <c r="J7" s="8"/>
      <c r="K7" s="105"/>
      <c r="L7" s="105"/>
    </row>
    <row r="8" spans="1:12" ht="12.75">
      <c r="A8" s="125" t="s">
        <v>17</v>
      </c>
      <c r="B8" s="71">
        <v>1.51</v>
      </c>
      <c r="C8" s="71">
        <v>1.51</v>
      </c>
      <c r="D8" s="8"/>
      <c r="E8" s="8"/>
      <c r="F8" s="8"/>
      <c r="G8" s="8"/>
      <c r="H8" s="8"/>
      <c r="I8" s="42"/>
      <c r="K8" s="220"/>
      <c r="L8" s="220"/>
    </row>
    <row r="9" spans="1:12" ht="12.75">
      <c r="A9" s="125" t="s">
        <v>28</v>
      </c>
      <c r="B9" s="126">
        <f>B7/2/B8</f>
        <v>1.357615894039735</v>
      </c>
      <c r="C9" s="126">
        <f>C7/2/C8</f>
        <v>1.456953642384106</v>
      </c>
      <c r="D9" s="13"/>
      <c r="E9" s="13"/>
      <c r="F9" s="13"/>
      <c r="G9" s="13"/>
      <c r="H9" s="8"/>
      <c r="I9" s="42"/>
      <c r="K9" s="220"/>
      <c r="L9" s="220"/>
    </row>
    <row r="10" spans="1:12" ht="12.75">
      <c r="A10" s="127" t="s">
        <v>27</v>
      </c>
      <c r="B10" s="221">
        <f>B9-B7/2</f>
        <v>-0.6923841059602649</v>
      </c>
      <c r="C10" s="221">
        <f>C9-C7/2</f>
        <v>-0.7430463576158941</v>
      </c>
      <c r="D10" s="108" t="s">
        <v>68</v>
      </c>
      <c r="E10" s="9"/>
      <c r="F10" s="9"/>
      <c r="G10" s="9"/>
      <c r="H10" s="8"/>
      <c r="I10" s="42"/>
      <c r="J10" s="222"/>
      <c r="K10" s="222"/>
      <c r="L10" s="8"/>
    </row>
    <row r="11" spans="1:12" ht="12.75">
      <c r="A11" s="72" t="s">
        <v>33</v>
      </c>
      <c r="B11" s="223">
        <f>0.2*((1/1.5)-1)</f>
        <v>-0.06666666666666668</v>
      </c>
      <c r="C11" s="8"/>
      <c r="D11" s="109">
        <f>B10+B11</f>
        <v>-0.7590507726269315</v>
      </c>
      <c r="E11" s="8"/>
      <c r="F11" s="8"/>
      <c r="G11" s="8"/>
      <c r="H11" s="8"/>
      <c r="I11" s="224"/>
      <c r="J11" s="225"/>
      <c r="K11" s="225"/>
      <c r="L11" s="225"/>
    </row>
    <row r="12" spans="1:12" ht="12.75">
      <c r="A12" s="72" t="s">
        <v>35</v>
      </c>
      <c r="B12" s="73">
        <f>3*((1/1.5)-1)</f>
        <v>-1</v>
      </c>
      <c r="C12" s="8"/>
      <c r="D12" s="110">
        <f>B10+B12</f>
        <v>-1.692384105960265</v>
      </c>
      <c r="E12" s="8"/>
      <c r="F12" s="8"/>
      <c r="G12" s="8"/>
      <c r="H12" s="8"/>
      <c r="I12" s="224"/>
      <c r="J12" s="8"/>
      <c r="K12" s="9"/>
      <c r="L12" s="9"/>
    </row>
    <row r="13" spans="1:12" ht="12.75">
      <c r="A13" s="32" t="s">
        <v>15</v>
      </c>
      <c r="B13" s="8"/>
      <c r="C13" s="8"/>
      <c r="D13" s="8"/>
      <c r="E13" s="8"/>
      <c r="F13" s="8"/>
      <c r="G13" s="8"/>
      <c r="H13" s="226"/>
      <c r="I13" s="224"/>
      <c r="J13" s="8"/>
      <c r="K13" s="9"/>
      <c r="L13" s="9"/>
    </row>
    <row r="14" spans="1:12" ht="12.75">
      <c r="A14" s="31" t="s">
        <v>73</v>
      </c>
      <c r="B14" s="8"/>
      <c r="C14" s="8"/>
      <c r="D14" s="8"/>
      <c r="E14" s="8"/>
      <c r="F14" s="8"/>
      <c r="G14" s="8"/>
      <c r="H14" s="51" t="s">
        <v>120</v>
      </c>
      <c r="I14" s="52"/>
      <c r="J14" s="52"/>
      <c r="K14" s="165"/>
      <c r="L14" s="105"/>
    </row>
    <row r="15" spans="1:12" ht="12.75">
      <c r="A15" s="102" t="s">
        <v>21</v>
      </c>
      <c r="B15" s="52" t="s">
        <v>121</v>
      </c>
      <c r="C15" s="52" t="s">
        <v>122</v>
      </c>
      <c r="D15" s="51" t="s">
        <v>123</v>
      </c>
      <c r="E15" s="54" t="s">
        <v>124</v>
      </c>
      <c r="F15" s="53" t="s">
        <v>125</v>
      </c>
      <c r="G15" s="52" t="s">
        <v>126</v>
      </c>
      <c r="H15" s="51" t="s">
        <v>125</v>
      </c>
      <c r="I15" s="52" t="s">
        <v>126</v>
      </c>
      <c r="J15" s="51" t="s">
        <v>121</v>
      </c>
      <c r="K15" s="54" t="s">
        <v>122</v>
      </c>
      <c r="L15" s="220"/>
    </row>
    <row r="16" spans="1:12" ht="12.75">
      <c r="A16" s="36" t="s">
        <v>13</v>
      </c>
      <c r="B16" s="111" t="s">
        <v>127</v>
      </c>
      <c r="C16" s="112" t="s">
        <v>128</v>
      </c>
      <c r="D16" s="111" t="s">
        <v>129</v>
      </c>
      <c r="E16" s="112" t="s">
        <v>130</v>
      </c>
      <c r="F16" s="111" t="s">
        <v>131</v>
      </c>
      <c r="G16" s="113" t="s">
        <v>132</v>
      </c>
      <c r="H16" s="112"/>
      <c r="I16" s="113"/>
      <c r="J16" s="164"/>
      <c r="K16" s="165"/>
      <c r="L16" s="165"/>
    </row>
    <row r="17" spans="1:12" ht="12.75">
      <c r="A17" s="36" t="s">
        <v>14</v>
      </c>
      <c r="B17" s="132"/>
      <c r="C17" s="133"/>
      <c r="D17" s="114" t="s">
        <v>133</v>
      </c>
      <c r="E17" s="105" t="s">
        <v>134</v>
      </c>
      <c r="F17" s="114"/>
      <c r="G17" s="115"/>
      <c r="H17" s="227" t="s">
        <v>135</v>
      </c>
      <c r="I17" s="228" t="s">
        <v>136</v>
      </c>
      <c r="J17" s="114" t="s">
        <v>137</v>
      </c>
      <c r="K17" s="115" t="s">
        <v>138</v>
      </c>
      <c r="L17" s="115"/>
    </row>
    <row r="18" spans="1:12" ht="12.75">
      <c r="A18" s="36" t="s">
        <v>12</v>
      </c>
      <c r="B18" s="22">
        <v>4</v>
      </c>
      <c r="C18" s="12">
        <v>4</v>
      </c>
      <c r="D18" s="22">
        <v>8</v>
      </c>
      <c r="E18" s="12">
        <v>8</v>
      </c>
      <c r="F18" s="22">
        <v>4</v>
      </c>
      <c r="G18" s="11">
        <v>4</v>
      </c>
      <c r="H18" s="12">
        <v>4</v>
      </c>
      <c r="I18" s="11">
        <v>4</v>
      </c>
      <c r="J18" s="22">
        <v>4</v>
      </c>
      <c r="K18" s="11">
        <v>4</v>
      </c>
      <c r="L18" s="11"/>
    </row>
    <row r="19" spans="1:12" ht="12.75">
      <c r="A19" s="36" t="s">
        <v>10</v>
      </c>
      <c r="B19" s="21">
        <v>7948</v>
      </c>
      <c r="C19" s="42">
        <v>7948</v>
      </c>
      <c r="D19" s="21">
        <v>9315</v>
      </c>
      <c r="E19" s="42">
        <v>9315</v>
      </c>
      <c r="F19" s="21">
        <v>8630</v>
      </c>
      <c r="G19" s="1">
        <v>8630</v>
      </c>
      <c r="H19" s="42">
        <v>8630</v>
      </c>
      <c r="I19" s="1">
        <v>8630</v>
      </c>
      <c r="J19" s="21">
        <v>7948</v>
      </c>
      <c r="K19" s="1">
        <v>7948</v>
      </c>
      <c r="L19" s="1"/>
    </row>
    <row r="20" spans="1:12" ht="12.75">
      <c r="A20" s="36" t="s">
        <v>54</v>
      </c>
      <c r="B20" s="21">
        <v>-60</v>
      </c>
      <c r="C20" s="42">
        <v>60</v>
      </c>
      <c r="D20" s="21">
        <v>-60</v>
      </c>
      <c r="E20" s="42">
        <v>60</v>
      </c>
      <c r="F20" s="21">
        <v>-60</v>
      </c>
      <c r="G20" s="1">
        <v>60</v>
      </c>
      <c r="H20" s="42">
        <v>-60</v>
      </c>
      <c r="I20" s="1">
        <v>60</v>
      </c>
      <c r="J20" s="21">
        <v>-60</v>
      </c>
      <c r="K20" s="1">
        <v>60</v>
      </c>
      <c r="L20" s="1"/>
    </row>
    <row r="21" spans="1:12" ht="12.75">
      <c r="A21" s="36" t="s">
        <v>55</v>
      </c>
      <c r="B21" s="17">
        <f aca="true" t="shared" si="0" ref="B21:I21">B19+B20</f>
        <v>7888</v>
      </c>
      <c r="C21" s="8">
        <f t="shared" si="0"/>
        <v>8008</v>
      </c>
      <c r="D21" s="17">
        <f t="shared" si="0"/>
        <v>9255</v>
      </c>
      <c r="E21" s="8">
        <f t="shared" si="0"/>
        <v>9375</v>
      </c>
      <c r="F21" s="17">
        <f t="shared" si="0"/>
        <v>8570</v>
      </c>
      <c r="G21" s="2">
        <f t="shared" si="0"/>
        <v>8690</v>
      </c>
      <c r="H21" s="8">
        <f t="shared" si="0"/>
        <v>8570</v>
      </c>
      <c r="I21" s="2">
        <f t="shared" si="0"/>
        <v>8690</v>
      </c>
      <c r="J21" s="17">
        <f>J19+J20</f>
        <v>7888</v>
      </c>
      <c r="K21" s="2">
        <f>K19+K20</f>
        <v>8008</v>
      </c>
      <c r="L21" s="2"/>
    </row>
    <row r="22" spans="1:12" ht="12.75">
      <c r="A22" s="36" t="s">
        <v>11</v>
      </c>
      <c r="B22" s="33" t="s">
        <v>4</v>
      </c>
      <c r="C22" s="43" t="s">
        <v>4</v>
      </c>
      <c r="D22" s="33" t="s">
        <v>4</v>
      </c>
      <c r="E22" s="43" t="s">
        <v>4</v>
      </c>
      <c r="F22" s="61" t="s">
        <v>5</v>
      </c>
      <c r="G22" s="57" t="s">
        <v>5</v>
      </c>
      <c r="H22" s="43" t="s">
        <v>4</v>
      </c>
      <c r="I22" s="34" t="s">
        <v>4</v>
      </c>
      <c r="J22" s="61" t="s">
        <v>5</v>
      </c>
      <c r="K22" s="57" t="s">
        <v>159</v>
      </c>
      <c r="L22" s="57"/>
    </row>
    <row r="23" spans="1:12" ht="12.75">
      <c r="A23" s="36" t="s">
        <v>45</v>
      </c>
      <c r="B23" s="17">
        <f>-$B6</f>
        <v>-4.8</v>
      </c>
      <c r="C23" s="8">
        <f>-$B6</f>
        <v>-4.8</v>
      </c>
      <c r="D23" s="17">
        <f>-$B6</f>
        <v>-4.8</v>
      </c>
      <c r="E23" s="8">
        <f>-$B6</f>
        <v>-4.8</v>
      </c>
      <c r="F23" s="17">
        <f>$B6</f>
        <v>4.8</v>
      </c>
      <c r="G23" s="2">
        <f>$B6</f>
        <v>4.8</v>
      </c>
      <c r="H23" s="8">
        <f>-$B6</f>
        <v>-4.8</v>
      </c>
      <c r="I23" s="2">
        <f>-$B6</f>
        <v>-4.8</v>
      </c>
      <c r="J23" s="17">
        <v>-10.1</v>
      </c>
      <c r="K23" s="2">
        <v>-10.1</v>
      </c>
      <c r="L23" s="5"/>
    </row>
    <row r="24" spans="1:12" ht="12.75">
      <c r="A24" s="36" t="s">
        <v>9</v>
      </c>
      <c r="B24" s="17">
        <f aca="true" t="shared" si="1" ref="B24:I24">B21+B23</f>
        <v>7883.2</v>
      </c>
      <c r="C24" s="8">
        <f t="shared" si="1"/>
        <v>8003.2</v>
      </c>
      <c r="D24" s="17">
        <f t="shared" si="1"/>
        <v>9250.2</v>
      </c>
      <c r="E24" s="8">
        <f t="shared" si="1"/>
        <v>9370.2</v>
      </c>
      <c r="F24" s="17">
        <f t="shared" si="1"/>
        <v>8574.8</v>
      </c>
      <c r="G24" s="2">
        <f t="shared" si="1"/>
        <v>8694.8</v>
      </c>
      <c r="H24" s="8">
        <f t="shared" si="1"/>
        <v>8565.2</v>
      </c>
      <c r="I24" s="2">
        <f t="shared" si="1"/>
        <v>8685.2</v>
      </c>
      <c r="J24" s="17">
        <f>J21+J23</f>
        <v>7877.9</v>
      </c>
      <c r="K24" s="2">
        <f>K21+K23</f>
        <v>7997.9</v>
      </c>
      <c r="L24" s="5"/>
    </row>
    <row r="25" spans="1:12" ht="12.75">
      <c r="A25" s="36" t="s">
        <v>87</v>
      </c>
      <c r="B25" s="17"/>
      <c r="C25" s="8"/>
      <c r="D25" s="17"/>
      <c r="E25" s="8"/>
      <c r="F25" s="17"/>
      <c r="G25" s="2"/>
      <c r="H25" s="8"/>
      <c r="I25" s="2"/>
      <c r="J25" s="17">
        <f>27.6</f>
        <v>27.6</v>
      </c>
      <c r="K25" s="2">
        <f>15.99+9+0.56</f>
        <v>25.55</v>
      </c>
      <c r="L25" s="5"/>
    </row>
    <row r="26" spans="1:12" ht="12.75">
      <c r="A26" s="36" t="s">
        <v>88</v>
      </c>
      <c r="B26" s="17"/>
      <c r="C26" s="8"/>
      <c r="D26" s="17"/>
      <c r="E26" s="8"/>
      <c r="F26" s="17"/>
      <c r="G26" s="2"/>
      <c r="H26" s="8"/>
      <c r="I26" s="2" t="s">
        <v>139</v>
      </c>
      <c r="J26" s="17">
        <f>J21+J25</f>
        <v>7915.6</v>
      </c>
      <c r="K26" s="2">
        <f>K21+K25</f>
        <v>8033.55</v>
      </c>
      <c r="L26" s="5"/>
    </row>
    <row r="27" spans="1:12" ht="12.75">
      <c r="A27" s="36" t="s">
        <v>0</v>
      </c>
      <c r="B27" s="23" t="s">
        <v>1</v>
      </c>
      <c r="C27" s="44" t="s">
        <v>1</v>
      </c>
      <c r="D27" s="23" t="s">
        <v>3</v>
      </c>
      <c r="E27" s="44" t="s">
        <v>3</v>
      </c>
      <c r="F27" s="23" t="s">
        <v>3</v>
      </c>
      <c r="G27" s="7" t="s">
        <v>3</v>
      </c>
      <c r="H27" s="44" t="s">
        <v>2</v>
      </c>
      <c r="I27" s="7" t="s">
        <v>2</v>
      </c>
      <c r="J27" s="23" t="s">
        <v>140</v>
      </c>
      <c r="K27" s="7" t="s">
        <v>141</v>
      </c>
      <c r="L27" s="7"/>
    </row>
    <row r="28" spans="1:12" ht="12.75">
      <c r="A28" s="37" t="s">
        <v>6</v>
      </c>
      <c r="B28" s="24">
        <v>7387</v>
      </c>
      <c r="C28" s="45">
        <v>7387</v>
      </c>
      <c r="D28" s="24">
        <v>8780</v>
      </c>
      <c r="E28" s="45">
        <v>8780</v>
      </c>
      <c r="F28" s="24">
        <v>8780</v>
      </c>
      <c r="G28" s="20">
        <v>8780</v>
      </c>
      <c r="H28" s="45">
        <v>8100</v>
      </c>
      <c r="I28" s="20">
        <v>8100</v>
      </c>
      <c r="J28" s="229">
        <v>8069</v>
      </c>
      <c r="K28" s="20">
        <f>$J$28</f>
        <v>8069</v>
      </c>
      <c r="L28" s="5"/>
    </row>
    <row r="29" spans="1:12" ht="12.75">
      <c r="A29" s="37" t="s">
        <v>7</v>
      </c>
      <c r="B29" s="24">
        <v>7587</v>
      </c>
      <c r="C29" s="45">
        <v>7587</v>
      </c>
      <c r="D29" s="24">
        <v>8980</v>
      </c>
      <c r="E29" s="45">
        <v>8980</v>
      </c>
      <c r="F29" s="24">
        <v>8980</v>
      </c>
      <c r="G29" s="20">
        <v>8980</v>
      </c>
      <c r="H29" s="45">
        <v>8300</v>
      </c>
      <c r="I29" s="20">
        <v>8300</v>
      </c>
      <c r="J29" s="24">
        <v>8100</v>
      </c>
      <c r="K29" s="20">
        <v>8100</v>
      </c>
      <c r="L29" s="5"/>
    </row>
    <row r="30" spans="1:12" ht="12.75">
      <c r="A30" s="38" t="s">
        <v>93</v>
      </c>
      <c r="B30" s="8"/>
      <c r="C30" s="4"/>
      <c r="D30" s="25"/>
      <c r="E30" s="4"/>
      <c r="F30" s="25"/>
      <c r="G30" s="5"/>
      <c r="H30" s="4"/>
      <c r="I30" s="5"/>
      <c r="J30" s="230">
        <f>H72</f>
        <v>18.937508959766017</v>
      </c>
      <c r="K30" s="231">
        <f>I72</f>
        <v>15.090173145924187</v>
      </c>
      <c r="L30" s="232"/>
    </row>
    <row r="31" spans="1:12" ht="12.75">
      <c r="A31" s="37" t="s">
        <v>25</v>
      </c>
      <c r="B31" s="24">
        <f aca="true" t="shared" si="2" ref="B31:G32">B28</f>
        <v>7387</v>
      </c>
      <c r="C31" s="45">
        <f t="shared" si="2"/>
        <v>7387</v>
      </c>
      <c r="D31" s="24">
        <f t="shared" si="2"/>
        <v>8780</v>
      </c>
      <c r="E31" s="45">
        <f t="shared" si="2"/>
        <v>8780</v>
      </c>
      <c r="F31" s="24">
        <f t="shared" si="2"/>
        <v>8780</v>
      </c>
      <c r="G31" s="20">
        <f t="shared" si="2"/>
        <v>8780</v>
      </c>
      <c r="H31" s="45">
        <v>8100</v>
      </c>
      <c r="I31" s="20">
        <v>8100</v>
      </c>
      <c r="J31" s="24">
        <f>J28</f>
        <v>8069</v>
      </c>
      <c r="K31" s="20">
        <f>K28</f>
        <v>8069</v>
      </c>
      <c r="L31" s="5"/>
    </row>
    <row r="32" spans="1:12" ht="12.75">
      <c r="A32" s="37" t="s">
        <v>26</v>
      </c>
      <c r="B32" s="24">
        <f t="shared" si="2"/>
        <v>7587</v>
      </c>
      <c r="C32" s="45">
        <f>C29</f>
        <v>7587</v>
      </c>
      <c r="D32" s="24">
        <f t="shared" si="2"/>
        <v>8980</v>
      </c>
      <c r="E32" s="45">
        <f t="shared" si="2"/>
        <v>8980</v>
      </c>
      <c r="F32" s="24">
        <f t="shared" si="2"/>
        <v>8980</v>
      </c>
      <c r="G32" s="20">
        <f t="shared" si="2"/>
        <v>8980</v>
      </c>
      <c r="H32" s="45">
        <v>8300</v>
      </c>
      <c r="I32" s="20">
        <v>8300</v>
      </c>
      <c r="J32" s="169">
        <f>J29+J30</f>
        <v>8118.937508959766</v>
      </c>
      <c r="K32" s="170">
        <f>K29+K30</f>
        <v>8115.090173145924</v>
      </c>
      <c r="L32" s="15"/>
    </row>
    <row r="33" spans="1:12" ht="12.75">
      <c r="A33" s="37" t="s">
        <v>81</v>
      </c>
      <c r="B33" s="24"/>
      <c r="C33" s="45"/>
      <c r="D33" s="24"/>
      <c r="E33" s="45"/>
      <c r="F33" s="24"/>
      <c r="G33" s="20"/>
      <c r="H33" s="24"/>
      <c r="I33" s="20"/>
      <c r="J33" s="137">
        <f>J32-J31</f>
        <v>49.93750895976609</v>
      </c>
      <c r="K33" s="138">
        <f>K32-K31</f>
        <v>46.09017314592438</v>
      </c>
      <c r="L33" s="234"/>
    </row>
    <row r="34" spans="1:12" ht="12.75">
      <c r="A34" s="37" t="s">
        <v>142</v>
      </c>
      <c r="B34" s="24"/>
      <c r="C34" s="45"/>
      <c r="D34" s="24"/>
      <c r="E34" s="45"/>
      <c r="F34" s="24"/>
      <c r="G34" s="20"/>
      <c r="H34" s="45"/>
      <c r="I34" s="20"/>
      <c r="J34" s="235">
        <f>J32+15.5-J21-5</f>
        <v>241.4375089597661</v>
      </c>
      <c r="K34" s="236">
        <f>K32+15.5-K21-5</f>
        <v>117.59017314592438</v>
      </c>
      <c r="L34" s="237"/>
    </row>
    <row r="35" spans="1:12" ht="12.75">
      <c r="A35" s="38" t="s">
        <v>85</v>
      </c>
      <c r="B35" s="30">
        <f aca="true" t="shared" si="3" ref="B35:I35">MIN(ABS(B24-B31),ABS(B24-B32))</f>
        <v>296.1999999999998</v>
      </c>
      <c r="C35" s="4">
        <f t="shared" si="3"/>
        <v>416.1999999999998</v>
      </c>
      <c r="D35" s="25">
        <f t="shared" si="3"/>
        <v>270.2000000000007</v>
      </c>
      <c r="E35" s="4">
        <f t="shared" si="3"/>
        <v>390.2000000000007</v>
      </c>
      <c r="F35" s="25">
        <f t="shared" si="3"/>
        <v>205.20000000000073</v>
      </c>
      <c r="G35" s="5">
        <f t="shared" si="3"/>
        <v>85.20000000000073</v>
      </c>
      <c r="H35" s="4">
        <f t="shared" si="3"/>
        <v>265.2000000000007</v>
      </c>
      <c r="I35" s="5">
        <f t="shared" si="3"/>
        <v>385.2000000000007</v>
      </c>
      <c r="J35" s="175">
        <f>J32-23.3-J21-5</f>
        <v>202.6375089597659</v>
      </c>
      <c r="K35" s="176">
        <f>K32-23.3-K21-5</f>
        <v>78.7901731459242</v>
      </c>
      <c r="L35" s="176"/>
    </row>
    <row r="36" spans="1:12" ht="12.75">
      <c r="A36" s="38" t="s">
        <v>84</v>
      </c>
      <c r="B36" s="25">
        <f aca="true" t="shared" si="4" ref="B36:I36">MAX(ABS(B24-B31),ABS(B24-B32))</f>
        <v>496.1999999999998</v>
      </c>
      <c r="C36" s="4">
        <f t="shared" si="4"/>
        <v>616.1999999999998</v>
      </c>
      <c r="D36" s="25">
        <f t="shared" si="4"/>
        <v>470.2000000000007</v>
      </c>
      <c r="E36" s="4">
        <f t="shared" si="4"/>
        <v>590.2000000000007</v>
      </c>
      <c r="F36" s="25">
        <f t="shared" si="4"/>
        <v>405.2000000000007</v>
      </c>
      <c r="G36" s="5">
        <f t="shared" si="4"/>
        <v>285.2000000000007</v>
      </c>
      <c r="H36" s="4">
        <f t="shared" si="4"/>
        <v>465.2000000000007</v>
      </c>
      <c r="I36" s="5">
        <f t="shared" si="4"/>
        <v>585.2000000000007</v>
      </c>
      <c r="J36" s="174"/>
      <c r="K36" s="173"/>
      <c r="L36" s="173"/>
    </row>
    <row r="37" spans="1:12" ht="12.75">
      <c r="A37" s="37" t="s">
        <v>83</v>
      </c>
      <c r="B37" s="139">
        <f aca="true" t="shared" si="5" ref="B37:I37">MAX(ABS(B21-B31),ABS(B21-B32))</f>
        <v>501</v>
      </c>
      <c r="C37" s="138">
        <f t="shared" si="5"/>
        <v>621</v>
      </c>
      <c r="D37" s="139">
        <f t="shared" si="5"/>
        <v>475</v>
      </c>
      <c r="E37" s="138">
        <f t="shared" si="5"/>
        <v>595</v>
      </c>
      <c r="F37" s="239">
        <f t="shared" si="5"/>
        <v>410</v>
      </c>
      <c r="G37" s="172">
        <f t="shared" si="5"/>
        <v>290</v>
      </c>
      <c r="H37" s="139">
        <f t="shared" si="5"/>
        <v>470</v>
      </c>
      <c r="I37" s="138">
        <f t="shared" si="5"/>
        <v>590</v>
      </c>
      <c r="J37" s="240"/>
      <c r="K37" s="241"/>
      <c r="L37" s="241"/>
    </row>
    <row r="38" spans="1:12" ht="12.75">
      <c r="A38" s="39" t="s">
        <v>46</v>
      </c>
      <c r="B38" s="25">
        <f>9.57</f>
        <v>9.57</v>
      </c>
      <c r="C38" s="242">
        <f>9.57</f>
        <v>9.57</v>
      </c>
      <c r="D38" s="25">
        <f>$B38</f>
        <v>9.57</v>
      </c>
      <c r="E38" s="4">
        <f>C38</f>
        <v>9.57</v>
      </c>
      <c r="F38" s="28">
        <f>28</f>
        <v>28</v>
      </c>
      <c r="G38" s="71">
        <v>28.18</v>
      </c>
      <c r="H38" s="4">
        <f>$C38</f>
        <v>9.57</v>
      </c>
      <c r="I38" s="5">
        <f>$C38</f>
        <v>9.57</v>
      </c>
      <c r="J38" s="25"/>
      <c r="K38" s="5"/>
      <c r="L38" s="241"/>
    </row>
    <row r="39" spans="1:12" ht="12.75">
      <c r="A39" s="38" t="s">
        <v>75</v>
      </c>
      <c r="B39" s="26"/>
      <c r="C39" s="46"/>
      <c r="D39" s="26"/>
      <c r="E39" s="46"/>
      <c r="F39" s="106">
        <v>5</v>
      </c>
      <c r="G39" s="243">
        <v>5</v>
      </c>
      <c r="H39" s="46"/>
      <c r="I39" s="10"/>
      <c r="J39" s="244"/>
      <c r="K39" s="245"/>
      <c r="L39" s="243"/>
    </row>
    <row r="40" spans="1:12" ht="12.75">
      <c r="A40" s="39" t="s">
        <v>69</v>
      </c>
      <c r="B40" s="116">
        <f>B35+B38</f>
        <v>305.7699999999998</v>
      </c>
      <c r="C40" s="46">
        <f aca="true" t="shared" si="6" ref="C40:I40">C35+C38</f>
        <v>425.7699999999998</v>
      </c>
      <c r="D40" s="26">
        <f t="shared" si="6"/>
        <v>279.7700000000007</v>
      </c>
      <c r="E40" s="46">
        <f t="shared" si="6"/>
        <v>399.7700000000007</v>
      </c>
      <c r="F40" s="116">
        <f>F35+F38+F39</f>
        <v>238.20000000000073</v>
      </c>
      <c r="G40" s="122">
        <f>G35+G38+G39</f>
        <v>118.38000000000073</v>
      </c>
      <c r="H40" s="46">
        <f t="shared" si="6"/>
        <v>274.7700000000007</v>
      </c>
      <c r="I40" s="10">
        <f t="shared" si="6"/>
        <v>394.7700000000007</v>
      </c>
      <c r="J40" s="116">
        <f>J25-J23</f>
        <v>37.7</v>
      </c>
      <c r="K40" s="10">
        <f>K25-K23</f>
        <v>35.65</v>
      </c>
      <c r="L40" s="10"/>
    </row>
    <row r="41" spans="1:12" ht="12.75">
      <c r="A41" s="155" t="s">
        <v>34</v>
      </c>
      <c r="B41" s="156">
        <f aca="true" t="shared" si="7" ref="B41:I41">B40+$B10+$B11</f>
        <v>305.01094922737286</v>
      </c>
      <c r="C41" s="157">
        <f t="shared" si="7"/>
        <v>425.01094922737286</v>
      </c>
      <c r="D41" s="156">
        <f>D40+$B10+$B11</f>
        <v>279.01094922737377</v>
      </c>
      <c r="E41" s="157">
        <f t="shared" si="7"/>
        <v>399.01094922737377</v>
      </c>
      <c r="F41" s="156">
        <f t="shared" si="7"/>
        <v>237.4409492273738</v>
      </c>
      <c r="G41" s="159">
        <f t="shared" si="7"/>
        <v>117.62094922737381</v>
      </c>
      <c r="H41" s="157">
        <f t="shared" si="7"/>
        <v>274.01094922737377</v>
      </c>
      <c r="I41" s="159">
        <f t="shared" si="7"/>
        <v>394.01094922737377</v>
      </c>
      <c r="J41" s="156">
        <f>J40+$B10+$B11</f>
        <v>36.94094922737307</v>
      </c>
      <c r="K41" s="159">
        <f>K40+$C10+$B11</f>
        <v>34.84028697571743</v>
      </c>
      <c r="L41" s="182">
        <v>1703</v>
      </c>
    </row>
    <row r="42" spans="1:12" ht="12.75">
      <c r="A42" s="38" t="s">
        <v>143</v>
      </c>
      <c r="B42" s="105">
        <v>4</v>
      </c>
      <c r="C42" s="246"/>
      <c r="D42" s="247">
        <v>8</v>
      </c>
      <c r="E42" s="246"/>
      <c r="F42" s="247">
        <v>4</v>
      </c>
      <c r="G42" s="246"/>
      <c r="H42" s="105">
        <v>4</v>
      </c>
      <c r="I42" s="9"/>
      <c r="J42" s="248">
        <v>18.6</v>
      </c>
      <c r="K42" s="3">
        <v>18.6</v>
      </c>
      <c r="L42" s="15"/>
    </row>
    <row r="43" spans="1:12" ht="12.75">
      <c r="A43" s="38" t="s">
        <v>144</v>
      </c>
      <c r="B43" s="8"/>
      <c r="C43" s="8"/>
      <c r="D43" s="249" t="s">
        <v>145</v>
      </c>
      <c r="E43" s="8"/>
      <c r="F43" s="238"/>
      <c r="G43" s="8"/>
      <c r="H43" s="250"/>
      <c r="I43" s="251"/>
      <c r="J43" s="252">
        <f>J32-J42</f>
        <v>8100.337508959766</v>
      </c>
      <c r="K43" s="253">
        <f>K32-K42</f>
        <v>8096.490173145924</v>
      </c>
      <c r="L43" s="15"/>
    </row>
    <row r="44" spans="1:12" ht="12.75">
      <c r="A44" s="38" t="s">
        <v>146</v>
      </c>
      <c r="B44" s="8"/>
      <c r="C44" s="8"/>
      <c r="D44" s="36">
        <v>-11.54</v>
      </c>
      <c r="E44" s="250"/>
      <c r="F44" s="8"/>
      <c r="G44" s="250"/>
      <c r="H44" s="250"/>
      <c r="I44" s="250"/>
      <c r="J44" s="29">
        <f>J43-J26</f>
        <v>184.73750895976536</v>
      </c>
      <c r="K44" s="3">
        <f>K43-K26</f>
        <v>62.940173145923836</v>
      </c>
      <c r="L44" s="15"/>
    </row>
    <row r="45" spans="1:12" ht="12.75">
      <c r="A45" s="254" t="s">
        <v>147</v>
      </c>
      <c r="B45" s="215" t="s">
        <v>119</v>
      </c>
      <c r="C45" s="95" t="s">
        <v>118</v>
      </c>
      <c r="D45" s="255" t="s">
        <v>148</v>
      </c>
      <c r="E45" s="95" t="s">
        <v>117</v>
      </c>
      <c r="F45" s="256" t="s">
        <v>149</v>
      </c>
      <c r="G45" s="257" t="s">
        <v>150</v>
      </c>
      <c r="H45" s="215" t="s">
        <v>151</v>
      </c>
      <c r="I45" s="99" t="s">
        <v>115</v>
      </c>
      <c r="J45" s="258">
        <f>J44-$B10-$B12</f>
        <v>186.42989306572562</v>
      </c>
      <c r="K45" s="259">
        <f>K44-$C10-$B12</f>
        <v>64.68321950353973</v>
      </c>
      <c r="L45" s="122"/>
    </row>
    <row r="46" spans="1:12" ht="12.75">
      <c r="A46" s="254" t="s">
        <v>152</v>
      </c>
      <c r="B46" s="261"/>
      <c r="C46" s="261"/>
      <c r="D46" s="262">
        <v>7.86</v>
      </c>
      <c r="E46" s="261"/>
      <c r="F46" s="261"/>
      <c r="G46" s="261"/>
      <c r="H46" s="261"/>
      <c r="I46" s="261"/>
      <c r="J46" s="263">
        <v>30.74</v>
      </c>
      <c r="K46" s="264"/>
      <c r="L46" s="122"/>
    </row>
    <row r="47" spans="1:12" ht="12.75">
      <c r="A47" s="100" t="s">
        <v>86</v>
      </c>
      <c r="B47" s="216">
        <v>76.71</v>
      </c>
      <c r="C47" s="87">
        <v>111.26</v>
      </c>
      <c r="D47" s="216">
        <v>76.71</v>
      </c>
      <c r="E47" s="87">
        <f>C47</f>
        <v>111.26</v>
      </c>
      <c r="F47" s="217">
        <v>59.34</v>
      </c>
      <c r="G47" s="87">
        <v>59.34</v>
      </c>
      <c r="H47" s="218">
        <v>71.69</v>
      </c>
      <c r="I47" s="87">
        <f>C47</f>
        <v>111.26</v>
      </c>
      <c r="J47" s="85">
        <f>J46</f>
        <v>30.74</v>
      </c>
      <c r="K47" s="87">
        <v>22.229</v>
      </c>
      <c r="L47" s="181">
        <v>1360</v>
      </c>
    </row>
    <row r="48" spans="1:12" ht="12.75">
      <c r="A48" s="265" t="s">
        <v>48</v>
      </c>
      <c r="B48" s="80">
        <f aca="true" t="shared" si="8" ref="B48:K48">1/((1/B47)-(1/B41))</f>
        <v>102.48485603942669</v>
      </c>
      <c r="C48" s="82">
        <f t="shared" si="8"/>
        <v>150.71418374186078</v>
      </c>
      <c r="D48" s="81">
        <f t="shared" si="8"/>
        <v>105.79747646747948</v>
      </c>
      <c r="E48" s="81">
        <f t="shared" si="8"/>
        <v>154.27910257199042</v>
      </c>
      <c r="F48" s="80">
        <f t="shared" si="8"/>
        <v>79.11100972945738</v>
      </c>
      <c r="G48" s="81">
        <f t="shared" si="8"/>
        <v>119.75829528655177</v>
      </c>
      <c r="H48" s="80">
        <f t="shared" si="8"/>
        <v>97.09249104023398</v>
      </c>
      <c r="I48" s="82">
        <f t="shared" si="8"/>
        <v>155.0398268540758</v>
      </c>
      <c r="J48" s="80">
        <f>1/((1/J47)-(1/J41))</f>
        <v>183.12757250723547</v>
      </c>
      <c r="K48" s="82">
        <f t="shared" si="8"/>
        <v>61.41044452278551</v>
      </c>
      <c r="L48" s="182">
        <v>6740</v>
      </c>
    </row>
    <row r="49" spans="1:12" ht="12.75">
      <c r="A49" s="36" t="s">
        <v>16</v>
      </c>
      <c r="B49" s="146">
        <f aca="true" t="shared" si="9" ref="B49:K49">B48/B41</f>
        <v>0.3360038592025381</v>
      </c>
      <c r="C49" s="130">
        <f t="shared" si="9"/>
        <v>0.3546124729629766</v>
      </c>
      <c r="D49" s="146">
        <f t="shared" si="9"/>
        <v>0.3791875435729305</v>
      </c>
      <c r="E49" s="150">
        <f t="shared" si="9"/>
        <v>0.3866538070464715</v>
      </c>
      <c r="F49" s="130">
        <f t="shared" si="9"/>
        <v>0.33318182894265874</v>
      </c>
      <c r="G49" s="147">
        <f t="shared" si="9"/>
        <v>1.0181714743267904</v>
      </c>
      <c r="H49" s="146">
        <f t="shared" si="9"/>
        <v>0.35433799749245354</v>
      </c>
      <c r="I49" s="150">
        <f t="shared" si="9"/>
        <v>0.39349116352755525</v>
      </c>
      <c r="J49" s="130">
        <f t="shared" si="9"/>
        <v>4.95730554675457</v>
      </c>
      <c r="K49" s="266">
        <f t="shared" si="9"/>
        <v>1.7626274021676869</v>
      </c>
      <c r="L49" s="266">
        <f>L48/L41</f>
        <v>3.9577216676453317</v>
      </c>
    </row>
    <row r="50" spans="1:12" ht="12.75">
      <c r="A50" s="36" t="s">
        <v>90</v>
      </c>
      <c r="B50" s="22">
        <v>340</v>
      </c>
      <c r="C50" s="12">
        <v>340</v>
      </c>
      <c r="D50" s="22">
        <v>340</v>
      </c>
      <c r="E50" s="11">
        <v>340</v>
      </c>
      <c r="F50" s="12">
        <v>340</v>
      </c>
      <c r="G50" s="12">
        <v>120</v>
      </c>
      <c r="H50" s="22">
        <v>340</v>
      </c>
      <c r="I50" s="11">
        <v>340</v>
      </c>
      <c r="J50" s="12">
        <v>30</v>
      </c>
      <c r="K50" s="11">
        <v>85</v>
      </c>
      <c r="L50" s="11">
        <v>120</v>
      </c>
    </row>
    <row r="51" spans="1:12" ht="12.75">
      <c r="A51" s="36" t="s">
        <v>89</v>
      </c>
      <c r="B51" s="28">
        <f>B49*B50/120</f>
        <v>0.9520109344071913</v>
      </c>
      <c r="C51" s="48">
        <f aca="true" t="shared" si="10" ref="C51:K51">C49*C50/120</f>
        <v>1.004735340061767</v>
      </c>
      <c r="D51" s="28">
        <f t="shared" si="10"/>
        <v>1.0743647067899695</v>
      </c>
      <c r="E51" s="14">
        <f t="shared" si="10"/>
        <v>1.0955191199650025</v>
      </c>
      <c r="F51" s="48">
        <f t="shared" si="10"/>
        <v>0.9440151820041998</v>
      </c>
      <c r="G51" s="48">
        <f t="shared" si="10"/>
        <v>1.0181714743267904</v>
      </c>
      <c r="H51" s="28">
        <f t="shared" si="10"/>
        <v>1.0039576595619517</v>
      </c>
      <c r="I51" s="14">
        <f t="shared" si="10"/>
        <v>1.11489162999474</v>
      </c>
      <c r="J51" s="48">
        <f t="shared" si="10"/>
        <v>1.2393263866886426</v>
      </c>
      <c r="K51" s="14">
        <f t="shared" si="10"/>
        <v>1.2485277432021116</v>
      </c>
      <c r="L51" s="14">
        <f>L49*L50/120</f>
        <v>3.9577216676453317</v>
      </c>
    </row>
    <row r="52" spans="1:12" ht="12.75">
      <c r="A52" s="36" t="s">
        <v>47</v>
      </c>
      <c r="B52" s="29">
        <v>0.9</v>
      </c>
      <c r="C52" s="13">
        <f>$B$52</f>
        <v>0.9</v>
      </c>
      <c r="D52" s="29">
        <v>0.9</v>
      </c>
      <c r="E52" s="3">
        <v>0.9</v>
      </c>
      <c r="F52" s="13">
        <v>0.9</v>
      </c>
      <c r="G52" s="13">
        <v>0.9</v>
      </c>
      <c r="H52" s="29">
        <v>0.9</v>
      </c>
      <c r="I52" s="3">
        <v>0.9</v>
      </c>
      <c r="J52" s="13">
        <v>0.9</v>
      </c>
      <c r="K52" s="3">
        <v>0.9</v>
      </c>
      <c r="L52" s="3">
        <v>0.9</v>
      </c>
    </row>
    <row r="53" spans="1:12" ht="12.75">
      <c r="A53" s="38" t="s">
        <v>8</v>
      </c>
      <c r="B53" s="103">
        <f aca="true" t="shared" si="11" ref="B53:I53">1/B49</f>
        <v>2.976156292887145</v>
      </c>
      <c r="C53" s="149">
        <f t="shared" si="11"/>
        <v>2.8199797701543488</v>
      </c>
      <c r="D53" s="103">
        <f t="shared" si="11"/>
        <v>2.637217432243173</v>
      </c>
      <c r="E53" s="104">
        <f t="shared" si="11"/>
        <v>2.586292910546232</v>
      </c>
      <c r="F53" s="149">
        <f t="shared" si="11"/>
        <v>3.0013641595445533</v>
      </c>
      <c r="G53" s="149">
        <f t="shared" si="11"/>
        <v>0.9821528349742804</v>
      </c>
      <c r="H53" s="103">
        <f t="shared" si="11"/>
        <v>2.822164168327156</v>
      </c>
      <c r="I53" s="104">
        <f t="shared" si="11"/>
        <v>2.5413531298523617</v>
      </c>
      <c r="J53" s="149">
        <f>1/J49</f>
        <v>0.20172248625156383</v>
      </c>
      <c r="K53" s="104">
        <f>1/K49</f>
        <v>0.5673348767698696</v>
      </c>
      <c r="L53" s="104">
        <f>1/L49</f>
        <v>0.2526706231454006</v>
      </c>
    </row>
    <row r="54" spans="1:12" ht="12.75">
      <c r="A54" s="50" t="s">
        <v>32</v>
      </c>
      <c r="B54" s="62">
        <f aca="true" t="shared" si="12" ref="B54:I54">4.6*B53</f>
        <v>13.690318947280865</v>
      </c>
      <c r="C54" s="63">
        <f t="shared" si="12"/>
        <v>12.971906942710003</v>
      </c>
      <c r="D54" s="62">
        <f t="shared" si="12"/>
        <v>12.131200188318594</v>
      </c>
      <c r="E54" s="63">
        <f t="shared" si="12"/>
        <v>11.896947388512666</v>
      </c>
      <c r="F54" s="62">
        <f t="shared" si="12"/>
        <v>13.806275133904943</v>
      </c>
      <c r="G54" s="64">
        <f t="shared" si="12"/>
        <v>4.51790304088169</v>
      </c>
      <c r="H54" s="63">
        <f t="shared" si="12"/>
        <v>12.981955174304916</v>
      </c>
      <c r="I54" s="64">
        <f t="shared" si="12"/>
        <v>11.690224397320863</v>
      </c>
      <c r="J54" s="62">
        <f>4.6*J53</f>
        <v>0.9279234367571936</v>
      </c>
      <c r="K54" s="64">
        <f>4.6*K53</f>
        <v>2.6097404331414</v>
      </c>
      <c r="L54" s="64"/>
    </row>
    <row r="55" spans="1:12" ht="12.75">
      <c r="A55" s="38" t="s">
        <v>31</v>
      </c>
      <c r="B55" s="30">
        <f>3.44*B53</f>
        <v>10.237977647531778</v>
      </c>
      <c r="C55" s="47">
        <f aca="true" t="shared" si="13" ref="C55:I55">3.44*C53</f>
        <v>9.70073040933096</v>
      </c>
      <c r="D55" s="30">
        <f t="shared" si="13"/>
        <v>9.072027966916515</v>
      </c>
      <c r="E55" s="47">
        <f t="shared" si="13"/>
        <v>8.896847612279037</v>
      </c>
      <c r="F55" s="30">
        <f>3.44*F53</f>
        <v>10.324692708833263</v>
      </c>
      <c r="G55" s="15">
        <f t="shared" si="13"/>
        <v>3.3786057523115245</v>
      </c>
      <c r="H55" s="47">
        <f t="shared" si="13"/>
        <v>9.708244739045417</v>
      </c>
      <c r="I55" s="15">
        <f t="shared" si="13"/>
        <v>8.742254766692124</v>
      </c>
      <c r="J55" s="30">
        <f>3.44*J53</f>
        <v>0.6939253527053796</v>
      </c>
      <c r="K55" s="15">
        <f>3.44*K53</f>
        <v>1.9516319760883514</v>
      </c>
      <c r="L55" s="15"/>
    </row>
    <row r="56" spans="1:12" ht="12.75">
      <c r="A56" s="39" t="s">
        <v>30</v>
      </c>
      <c r="B56" s="66">
        <f>18*B50/1000</f>
        <v>6.12</v>
      </c>
      <c r="C56" s="47">
        <f aca="true" t="shared" si="14" ref="C56:J56">18*C50/1000</f>
        <v>6.12</v>
      </c>
      <c r="D56" s="66">
        <f t="shared" si="14"/>
        <v>6.12</v>
      </c>
      <c r="E56" s="47">
        <f t="shared" si="14"/>
        <v>6.12</v>
      </c>
      <c r="F56" s="66">
        <f t="shared" si="14"/>
        <v>6.12</v>
      </c>
      <c r="G56" s="47">
        <f t="shared" si="14"/>
        <v>2.16</v>
      </c>
      <c r="H56" s="66">
        <f t="shared" si="14"/>
        <v>6.12</v>
      </c>
      <c r="I56" s="47">
        <f t="shared" si="14"/>
        <v>6.12</v>
      </c>
      <c r="J56" s="66">
        <f t="shared" si="14"/>
        <v>0.54</v>
      </c>
      <c r="K56" s="68">
        <f>18*K50/1000</f>
        <v>1.53</v>
      </c>
      <c r="L56" s="68"/>
    </row>
    <row r="57" spans="1:12" ht="12.75">
      <c r="A57" s="69" t="s">
        <v>41</v>
      </c>
      <c r="B57" s="62">
        <f>(16+B54)/2-B56</f>
        <v>8.725159473640431</v>
      </c>
      <c r="C57" s="63">
        <f aca="true" t="shared" si="15" ref="C57:I57">(16+C54)/2-C56</f>
        <v>8.365953471355002</v>
      </c>
      <c r="D57" s="62">
        <f t="shared" si="15"/>
        <v>7.945600094159297</v>
      </c>
      <c r="E57" s="63">
        <f t="shared" si="15"/>
        <v>7.828473694256332</v>
      </c>
      <c r="F57" s="62">
        <f t="shared" si="15"/>
        <v>8.783137566952472</v>
      </c>
      <c r="G57" s="64">
        <f t="shared" si="15"/>
        <v>8.098951520440846</v>
      </c>
      <c r="H57" s="63">
        <f t="shared" si="15"/>
        <v>8.370977587152456</v>
      </c>
      <c r="I57" s="64">
        <f t="shared" si="15"/>
        <v>7.7251121986604305</v>
      </c>
      <c r="J57" s="184">
        <f>((16+J54)/2-J56)*J49</f>
        <v>39.28149937878909</v>
      </c>
      <c r="K57" s="151">
        <f>((16+K54)/2-K56)*K49</f>
        <v>13.704199292024933</v>
      </c>
      <c r="L57" s="267"/>
    </row>
    <row r="58" spans="1:12" ht="12.75">
      <c r="A58" s="65" t="s">
        <v>42</v>
      </c>
      <c r="B58" s="66">
        <f>(16+B55)/2-B56</f>
        <v>6.998988823765889</v>
      </c>
      <c r="C58" s="67">
        <f aca="true" t="shared" si="16" ref="C58:I58">(18+C55)/2-C56</f>
        <v>7.730365204665479</v>
      </c>
      <c r="D58" s="66">
        <f t="shared" si="16"/>
        <v>7.4160139834582575</v>
      </c>
      <c r="E58" s="67">
        <f t="shared" si="16"/>
        <v>7.3284238061395195</v>
      </c>
      <c r="F58" s="66">
        <f>(18+F55)/2-F56</f>
        <v>8.04234635441663</v>
      </c>
      <c r="G58" s="68">
        <f t="shared" si="16"/>
        <v>8.529302876155763</v>
      </c>
      <c r="H58" s="67">
        <f t="shared" si="16"/>
        <v>7.7341223695227095</v>
      </c>
      <c r="I58" s="68">
        <f t="shared" si="16"/>
        <v>7.251127383346062</v>
      </c>
      <c r="J58" s="185">
        <f>((18+J55)/2-J56)*J49</f>
        <v>43.65880492554366</v>
      </c>
      <c r="K58" s="152">
        <f>((18+K55)/2-K56)*K49</f>
        <v>14.88682669419262</v>
      </c>
      <c r="L58" s="234"/>
    </row>
    <row r="59" spans="1:12" ht="12.75">
      <c r="A59" s="39" t="s">
        <v>153</v>
      </c>
      <c r="B59" s="293">
        <f aca="true" t="shared" si="17" ref="B59:I59">(B60-B54)/2</f>
        <v>1.6548405263595676</v>
      </c>
      <c r="C59" s="47">
        <f t="shared" si="17"/>
        <v>1.5140465286449984</v>
      </c>
      <c r="D59" s="30">
        <f t="shared" si="17"/>
        <v>1.9343999058407029</v>
      </c>
      <c r="E59" s="83">
        <f>(E60-E54)/2</f>
        <v>2.551526305743667</v>
      </c>
      <c r="F59" s="291">
        <f t="shared" si="17"/>
        <v>1.0968624330475283</v>
      </c>
      <c r="G59" s="15">
        <f t="shared" si="17"/>
        <v>5.741048479559155</v>
      </c>
      <c r="H59" s="47">
        <f t="shared" si="17"/>
        <v>1.5090224128475418</v>
      </c>
      <c r="I59" s="84">
        <f t="shared" si="17"/>
        <v>2.6548878013395685</v>
      </c>
      <c r="J59" s="186">
        <f>((16-J54)/2)*J49</f>
        <v>37.358444374036566</v>
      </c>
      <c r="K59" s="153">
        <f>((16-K54)/2)*K49</f>
        <v>11.801019217341494</v>
      </c>
      <c r="L59" s="268"/>
    </row>
    <row r="60" spans="1:12" ht="12.75">
      <c r="A60" s="39" t="s">
        <v>82</v>
      </c>
      <c r="B60" s="294">
        <v>17</v>
      </c>
      <c r="C60" s="290">
        <v>16</v>
      </c>
      <c r="D60" s="288">
        <v>16</v>
      </c>
      <c r="E60" s="287">
        <v>17</v>
      </c>
      <c r="F60" s="292">
        <f>16+L60</f>
        <v>16</v>
      </c>
      <c r="G60" s="289">
        <v>16</v>
      </c>
      <c r="H60" s="290">
        <v>16</v>
      </c>
      <c r="I60" s="269">
        <v>17</v>
      </c>
      <c r="J60" s="30">
        <v>16</v>
      </c>
      <c r="K60" s="232">
        <v>16</v>
      </c>
      <c r="L60" s="15"/>
    </row>
    <row r="61" spans="1:12" ht="12.75">
      <c r="A61" s="65" t="s">
        <v>44</v>
      </c>
      <c r="B61" s="66">
        <f>(16-B54*3.44/4.6)/2</f>
        <v>2.8810111762341117</v>
      </c>
      <c r="C61" s="67">
        <f aca="true" t="shared" si="18" ref="C61:I61">(16-C54*3.44/4.6)/2</f>
        <v>3.1496347953345207</v>
      </c>
      <c r="D61" s="66">
        <f t="shared" si="18"/>
        <v>3.4639860165417424</v>
      </c>
      <c r="E61" s="67">
        <f t="shared" si="18"/>
        <v>3.5515761938604813</v>
      </c>
      <c r="F61" s="66">
        <f t="shared" si="18"/>
        <v>2.8376536455833685</v>
      </c>
      <c r="G61" s="68">
        <f t="shared" si="18"/>
        <v>6.310697123844237</v>
      </c>
      <c r="H61" s="67">
        <f t="shared" si="18"/>
        <v>3.145877630477292</v>
      </c>
      <c r="I61" s="68">
        <f t="shared" si="18"/>
        <v>3.628872616653938</v>
      </c>
      <c r="J61" s="185">
        <f>((16-J54*3.44/4.6)/2)*J49</f>
        <v>37.938444374036564</v>
      </c>
      <c r="K61" s="152">
        <f>((16-K54*3.44/4.6)/2)*K49</f>
        <v>12.381019217341496</v>
      </c>
      <c r="L61" s="270"/>
    </row>
    <row r="62" spans="1:12" ht="12.75">
      <c r="A62" s="36" t="s">
        <v>97</v>
      </c>
      <c r="B62" s="215" t="s">
        <v>119</v>
      </c>
      <c r="C62" s="95" t="s">
        <v>118</v>
      </c>
      <c r="D62" s="271" t="s">
        <v>154</v>
      </c>
      <c r="E62" s="95" t="s">
        <v>117</v>
      </c>
      <c r="F62" s="98" t="s">
        <v>149</v>
      </c>
      <c r="G62" s="257" t="s">
        <v>150</v>
      </c>
      <c r="H62" s="215" t="s">
        <v>151</v>
      </c>
      <c r="I62" s="99" t="s">
        <v>115</v>
      </c>
      <c r="J62" s="141" t="s">
        <v>78</v>
      </c>
      <c r="K62" s="129" t="s">
        <v>79</v>
      </c>
      <c r="L62" s="272"/>
    </row>
    <row r="63" spans="1:12" ht="12.75">
      <c r="A63" s="193" t="s">
        <v>105</v>
      </c>
      <c r="B63" s="207">
        <v>3.6</v>
      </c>
      <c r="C63" s="195">
        <v>5</v>
      </c>
      <c r="D63" s="207">
        <v>3.6</v>
      </c>
      <c r="E63" s="195">
        <v>5</v>
      </c>
      <c r="F63" s="207">
        <v>2.6</v>
      </c>
      <c r="G63" s="196">
        <v>4.5</v>
      </c>
      <c r="H63" s="199">
        <v>3.6</v>
      </c>
      <c r="I63" s="198">
        <v>5</v>
      </c>
      <c r="J63" s="199">
        <v>6.9</v>
      </c>
      <c r="K63" s="273">
        <v>1.5</v>
      </c>
      <c r="L63" s="274"/>
    </row>
    <row r="64" spans="1:12" ht="12.75">
      <c r="A64" s="35" t="s">
        <v>49</v>
      </c>
      <c r="B64" s="275">
        <v>0.002</v>
      </c>
      <c r="C64" s="276">
        <f>$B64</f>
        <v>0.002</v>
      </c>
      <c r="D64" s="275">
        <f>$B64</f>
        <v>0.002</v>
      </c>
      <c r="E64" s="277">
        <f>$B64</f>
        <v>0.002</v>
      </c>
      <c r="F64" s="276">
        <f>$B64</f>
        <v>0.002</v>
      </c>
      <c r="G64" s="277">
        <f>$B64</f>
        <v>0.002</v>
      </c>
      <c r="H64" s="276">
        <f>$B64*0</f>
        <v>0</v>
      </c>
      <c r="I64" s="277">
        <f>$B64*0</f>
        <v>0</v>
      </c>
      <c r="J64" s="276">
        <v>0.002</v>
      </c>
      <c r="K64" s="277">
        <v>0.002</v>
      </c>
      <c r="L64" s="277"/>
    </row>
    <row r="65" spans="1:12" ht="12.75">
      <c r="A65" s="36" t="s">
        <v>50</v>
      </c>
      <c r="B65" s="49">
        <f>B48-(1/((1/(B47*(1+B64)))-(1/B41)))</f>
        <v>-0.27402447291780163</v>
      </c>
      <c r="C65" s="55">
        <f>C48-(1/((1/(C47*(1+C64)))-(1/C41)))</f>
        <v>-0.40860842158403443</v>
      </c>
      <c r="D65" s="49">
        <f>D48-(1/((1/(D47*(1+D64)))-(1/D41)))</f>
        <v>-0.29205060727554155</v>
      </c>
      <c r="E65" s="56">
        <f>E48-(1/((1/(E47*(1+E64)))-(1/E41)))</f>
        <v>-0.4281945359533097</v>
      </c>
      <c r="F65" s="55">
        <f>F48-(1/((1/(F47*(1+F64)))-(1/F41)))</f>
        <v>-0.21107937690692324</v>
      </c>
      <c r="G65" s="56">
        <f>G48-(1/((1/(G47*(1+G64)))-(1/G41)))</f>
        <v>-0.484371898021692</v>
      </c>
      <c r="H65" s="55">
        <f>H48-(1/((1/(H47*(1+H64)))-(1/H41)))</f>
        <v>0</v>
      </c>
      <c r="I65" s="56">
        <f>I48-(1/((1/(I47*(1+I64)))-(1/I41)))</f>
        <v>0</v>
      </c>
      <c r="J65" s="49">
        <f>J48-(1/((1/(J47*(1+J64)))-(1/J41)))</f>
        <v>-2.2037430623353202</v>
      </c>
      <c r="K65" s="56">
        <f>K48-(1/((1/(K47*(1+K64)))-(1/K41)))</f>
        <v>-0.34050873368521195</v>
      </c>
      <c r="L65" s="56"/>
    </row>
    <row r="66" spans="1:12" ht="12.75">
      <c r="A66" s="36" t="s">
        <v>51</v>
      </c>
      <c r="B66" s="49">
        <f>B48-(1/((1/(B47*(1-B64)))-(1/B41)))</f>
        <v>0.2736564271257578</v>
      </c>
      <c r="C66" s="55">
        <f>C48-(1/((1/(C47*(1-C64)))-(1/C41)))</f>
        <v>0.4080292417813496</v>
      </c>
      <c r="D66" s="49">
        <f>D48-(1/((1/(D47*(1-D64)))-(1/D41)))</f>
        <v>0.29160797514721537</v>
      </c>
      <c r="E66" s="56">
        <f>E48-(1/((1/(E47*(1-E64)))-(1/E41)))</f>
        <v>0.42753279549228296</v>
      </c>
      <c r="F66" s="55">
        <f>F48-(1/((1/(F47*(1-F64)))-(1/F41)))</f>
        <v>0.21079825298630794</v>
      </c>
      <c r="G66" s="56">
        <f>G48-(1/((1/(G47*(1-G64)))-(1/G41)))</f>
        <v>0.4824032123428026</v>
      </c>
      <c r="H66" s="55">
        <f>H48-(1/((1/(H47*(1-H64)))-(1/H41)))</f>
        <v>0</v>
      </c>
      <c r="I66" s="56">
        <f>I48-(1/((1/(I47*(1-I64)))-(1/I41)))</f>
        <v>0</v>
      </c>
      <c r="J66" s="49">
        <f>J48-(1/((1/(J47*(1-J64)))-(1/J41)))</f>
        <v>2.1604735518773737</v>
      </c>
      <c r="K66" s="56">
        <f>K48-(1/((1/(K47*(1-K64)))-(1/K41)))</f>
        <v>0.33811640714716873</v>
      </c>
      <c r="L66" s="56"/>
    </row>
    <row r="67" spans="1:12" ht="12.75">
      <c r="A67" s="18" t="s">
        <v>155</v>
      </c>
      <c r="B67" s="18">
        <v>10</v>
      </c>
      <c r="C67" s="41">
        <f>$B67</f>
        <v>10</v>
      </c>
      <c r="D67" s="18">
        <f>$B67</f>
        <v>10</v>
      </c>
      <c r="E67" s="19">
        <f>$B67</f>
        <v>10</v>
      </c>
      <c r="F67" s="18">
        <f>$B67</f>
        <v>10</v>
      </c>
      <c r="G67" s="19">
        <f>$B67</f>
        <v>10</v>
      </c>
      <c r="H67" s="41">
        <v>1</v>
      </c>
      <c r="I67" s="19">
        <v>1</v>
      </c>
      <c r="J67" s="18">
        <v>1</v>
      </c>
      <c r="K67" s="19">
        <v>3</v>
      </c>
      <c r="L67" s="19"/>
    </row>
    <row r="68" spans="1:12" ht="12.75">
      <c r="A68" s="25" t="s">
        <v>70</v>
      </c>
      <c r="B68" s="74">
        <f>B48-(1/((1/B47)-(1/(B41-B67))))</f>
        <v>-1.1807028842820273</v>
      </c>
      <c r="C68" s="70">
        <f>C48-(1/((1/C47)-(1/(C41-C67))))</f>
        <v>-1.2988991093597235</v>
      </c>
      <c r="D68" s="74">
        <f>D48-(1/((1/D47)-(1/(D41-D67))))</f>
        <v>-1.512601814205638</v>
      </c>
      <c r="E68" s="75">
        <f>E48-(1/((1/E47)-(1/(E41-E67))))</f>
        <v>-1.5488372836045414</v>
      </c>
      <c r="F68" s="74">
        <f>F48-(1/((1/F47)-(1/(F41-F67))))</f>
        <v>-1.176139089060996</v>
      </c>
      <c r="G68" s="75">
        <f>G48-(1/((1/G47)-(1/(G41-G67))))</f>
        <v>-12.513899633998165</v>
      </c>
      <c r="H68" s="70">
        <f>H48-(1/((1/H47)-(1/(H41-H67))))</f>
        <v>-0.12617907444666798</v>
      </c>
      <c r="I68" s="75">
        <f>I48-(1/((1/I47)-(1/(I41-I67))))</f>
        <v>-0.15538484244373763</v>
      </c>
      <c r="J68" s="187">
        <f>-J67</f>
        <v>-1</v>
      </c>
      <c r="K68" s="136">
        <v>-1</v>
      </c>
      <c r="L68" s="15"/>
    </row>
    <row r="69" spans="1:12" ht="12.75">
      <c r="A69" s="120" t="s">
        <v>76</v>
      </c>
      <c r="B69" s="117">
        <f>B48-(1/((1/B47)-(1/(B41+B67))))</f>
        <v>1.0816094574106927</v>
      </c>
      <c r="C69" s="118">
        <f>C48-(1/((1/C47)-(1/(C41+C67))))</f>
        <v>1.2186584730027334</v>
      </c>
      <c r="D69" s="117">
        <f>D48-(1/((1/D47)-(1/(D41+D67))))</f>
        <v>1.3701058131552202</v>
      </c>
      <c r="E69" s="119">
        <f>E48-(1/((1/E47)-(1/(E41+E67))))</f>
        <v>1.4448015256918438</v>
      </c>
      <c r="F69" s="117">
        <f>F48-(1/((1/F47)-(1/(F41+F67))))</f>
        <v>1.0510850588828475</v>
      </c>
      <c r="G69" s="119">
        <f>G48-(1/((1/G47)-(1/(G41+G67))))</f>
        <v>8.84848496838562</v>
      </c>
      <c r="H69" s="118">
        <f>H48-(1/((1/H47)-(1/(H41+H67))))</f>
        <v>0.12493789320167537</v>
      </c>
      <c r="I69" s="119">
        <f>I48-(1/((1/I47)-(1/(I41+I67))))</f>
        <v>0.15428962254853218</v>
      </c>
      <c r="J69" s="188">
        <f>J67</f>
        <v>1</v>
      </c>
      <c r="K69" s="189">
        <v>1</v>
      </c>
      <c r="L69" s="278"/>
    </row>
    <row r="70" spans="1:12" ht="12.75">
      <c r="A70" s="38" t="s">
        <v>77</v>
      </c>
      <c r="B70" s="279">
        <f>16.5+6</f>
        <v>22.5</v>
      </c>
      <c r="C70" s="4">
        <v>20.7</v>
      </c>
      <c r="D70" s="279">
        <f>$B70</f>
        <v>22.5</v>
      </c>
      <c r="E70" s="4">
        <f>$C70</f>
        <v>20.7</v>
      </c>
      <c r="F70" s="279">
        <f>$B70</f>
        <v>22.5</v>
      </c>
      <c r="G70" s="5">
        <f>C70</f>
        <v>20.7</v>
      </c>
      <c r="H70" s="162">
        <f>16.5+49.1+6</f>
        <v>71.6</v>
      </c>
      <c r="I70" s="163">
        <v>18.6</v>
      </c>
      <c r="J70" s="25"/>
      <c r="K70" s="5"/>
      <c r="L70" s="5"/>
    </row>
    <row r="71" spans="1:12" ht="12.75">
      <c r="A71" s="38" t="s">
        <v>156</v>
      </c>
      <c r="B71" s="280"/>
      <c r="C71" s="8"/>
      <c r="D71" s="280"/>
      <c r="E71" s="15"/>
      <c r="F71" s="281"/>
      <c r="G71" s="15"/>
      <c r="H71" s="154" t="s">
        <v>157</v>
      </c>
      <c r="I71" s="15"/>
      <c r="J71" s="30"/>
      <c r="K71" s="15"/>
      <c r="L71" s="15"/>
    </row>
    <row r="72" spans="1:12" ht="12.75">
      <c r="A72" s="36" t="s">
        <v>80</v>
      </c>
      <c r="B72" s="280">
        <f>200-B48-B38-B70-1.7</f>
        <v>63.745143960573316</v>
      </c>
      <c r="C72" s="233">
        <f>200-C48-C38-C70-1.7</f>
        <v>17.315816258139222</v>
      </c>
      <c r="D72" s="280">
        <f>200-D48-D38-D70-1.7</f>
        <v>60.432523532520506</v>
      </c>
      <c r="E72" s="232">
        <f>200-E48-E38-E70-1.7</f>
        <v>13.75089742800958</v>
      </c>
      <c r="F72" s="281">
        <f>200-F48-F38-F70-1.7</f>
        <v>68.68899027054262</v>
      </c>
      <c r="G72" s="232">
        <f>200-G48-G38-G70-1.7</f>
        <v>29.66170471344823</v>
      </c>
      <c r="H72" s="191">
        <f>200-H48-H38-H70-1.7-1.1</f>
        <v>18.937508959766017</v>
      </c>
      <c r="I72" s="167">
        <f>200-I48-I38-I70-1.7</f>
        <v>15.090173145924187</v>
      </c>
      <c r="J72" s="282"/>
      <c r="K72" s="232"/>
      <c r="L72" s="232"/>
    </row>
    <row r="73" spans="1:12" ht="12.75">
      <c r="A73" s="38" t="s">
        <v>53</v>
      </c>
      <c r="B73" s="280">
        <f aca="true" t="shared" si="19" ref="B73:I73">B65+B68+B72</f>
        <v>62.29041660337349</v>
      </c>
      <c r="C73" s="47">
        <f t="shared" si="19"/>
        <v>15.608308727195464</v>
      </c>
      <c r="D73" s="280">
        <f t="shared" si="19"/>
        <v>58.627871111039326</v>
      </c>
      <c r="E73" s="15">
        <f t="shared" si="19"/>
        <v>11.773865608451729</v>
      </c>
      <c r="F73" s="281">
        <f t="shared" si="19"/>
        <v>67.3017718045747</v>
      </c>
      <c r="G73" s="15">
        <f t="shared" si="19"/>
        <v>16.663433181428374</v>
      </c>
      <c r="H73" s="233">
        <f t="shared" si="19"/>
        <v>18.81132988531935</v>
      </c>
      <c r="I73" s="232">
        <f t="shared" si="19"/>
        <v>14.934788303480449</v>
      </c>
      <c r="J73" s="30"/>
      <c r="K73" s="15"/>
      <c r="L73" s="15"/>
    </row>
    <row r="74" spans="1:12" ht="12.75">
      <c r="A74" s="40" t="s">
        <v>52</v>
      </c>
      <c r="B74" s="283">
        <f aca="true" t="shared" si="20" ref="B74:I74">B66+B69+B72</f>
        <v>65.10040984510977</v>
      </c>
      <c r="C74" s="91">
        <f t="shared" si="20"/>
        <v>18.942503972923305</v>
      </c>
      <c r="D74" s="283">
        <f t="shared" si="20"/>
        <v>62.09423732082294</v>
      </c>
      <c r="E74" s="92">
        <f t="shared" si="20"/>
        <v>15.623231749193707</v>
      </c>
      <c r="F74" s="284">
        <f t="shared" si="20"/>
        <v>69.95087358241177</v>
      </c>
      <c r="G74" s="92">
        <f t="shared" si="20"/>
        <v>38.99259289417665</v>
      </c>
      <c r="H74" s="285">
        <f t="shared" si="20"/>
        <v>19.062446852967692</v>
      </c>
      <c r="I74" s="286">
        <f t="shared" si="20"/>
        <v>15.244462768472719</v>
      </c>
      <c r="J74" s="93"/>
      <c r="K74" s="92"/>
      <c r="L74" s="68"/>
    </row>
    <row r="75" spans="1:9" ht="12.75">
      <c r="A75" s="224"/>
      <c r="B75" s="8"/>
      <c r="C75" s="42"/>
      <c r="D75" s="260"/>
      <c r="G75" s="8"/>
      <c r="H75" s="8"/>
      <c r="I75" s="4"/>
    </row>
    <row r="76" spans="1:9" ht="12.75">
      <c r="A76" s="42"/>
      <c r="B76" s="8"/>
      <c r="C76" s="42"/>
      <c r="D76" s="260"/>
      <c r="G76" s="8"/>
      <c r="H76" s="8"/>
      <c r="I76" s="4"/>
    </row>
    <row r="77" spans="1:9" ht="12.75">
      <c r="A77" s="42"/>
      <c r="B77" s="8"/>
      <c r="C77" s="42"/>
      <c r="D77" s="260"/>
      <c r="G77" s="9"/>
      <c r="H77" s="55"/>
      <c r="I77" s="4"/>
    </row>
    <row r="78" spans="1:9" ht="12.75">
      <c r="A78" s="42"/>
      <c r="B78" s="8"/>
      <c r="C78" s="42"/>
      <c r="D78" s="260"/>
      <c r="G78" s="9"/>
      <c r="H78" s="8"/>
      <c r="I78" s="4"/>
    </row>
    <row r="79" spans="1:9" ht="12.75">
      <c r="A79" s="42"/>
      <c r="B79" s="8"/>
      <c r="C79" s="42"/>
      <c r="D79" s="260"/>
      <c r="G79" s="8"/>
      <c r="H79" s="55"/>
      <c r="I79" s="4"/>
    </row>
    <row r="80" spans="1:9" ht="12.75">
      <c r="A80" s="42"/>
      <c r="B80" s="8"/>
      <c r="C80" s="42"/>
      <c r="D80" s="260"/>
      <c r="G80" s="8"/>
      <c r="H80" s="8"/>
      <c r="I80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ksyrycz</cp:lastModifiedBy>
  <cp:lastPrinted>2006-06-08T12:54:10Z</cp:lastPrinted>
  <dcterms:created xsi:type="dcterms:W3CDTF">1997-02-26T13:46:56Z</dcterms:created>
  <dcterms:modified xsi:type="dcterms:W3CDTF">2007-11-29T21:56:42Z</dcterms:modified>
  <cp:category/>
  <cp:version/>
  <cp:contentType/>
  <cp:contentStatus/>
</cp:coreProperties>
</file>